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使い方" sheetId="1" state="visible" r:id="rId3"/>
    <sheet name="是正管理簿" sheetId="2" state="visible" r:id="rId4"/>
    <sheet name="パトロール報告書" sheetId="3" state="visible" r:id="rId5"/>
    <sheet name="集計" sheetId="4" state="visible" r:id="rId6"/>
    <sheet name="記入例" sheetId="5" state="visible" r:id="rId7"/>
    <sheet name="マスタ" sheetId="6" state="visible" r:id="rId8"/>
  </sheets>
  <definedNames>
    <definedName function="false" hidden="false" localSheetId="2" name="_xlnm.Print_Area" vbProcedure="false">パトロール報告書!$A$1:$I$34</definedName>
    <definedName function="false" hidden="false" localSheetId="5" name="_xlnm.Print_Area" vbProcedure="false">マスタ!$A$1:$G$19</definedName>
    <definedName function="false" hidden="false" localSheetId="0" name="_xlnm.Print_Area" vbProcedure="false">使い方!$A$1:$B$41</definedName>
    <definedName function="false" hidden="false" localSheetId="1" name="_xlnm.Print_Area" vbProcedure="false">是正管理簿!$A$1:$Q$56</definedName>
    <definedName function="false" hidden="false" localSheetId="1" name="_xlnm.Print_Titles" vbProcedure="false">是正管理簿!$1:$6</definedName>
    <definedName function="false" hidden="true" localSheetId="1" name="_xlnm._FilterDatabase" vbProcedure="false">是正管理簿!$A$6:$Q$106</definedName>
    <definedName function="false" hidden="false" localSheetId="4" name="_xlnm.Print_Area" vbProcedure="false">記入例!$A$1:$Q$8</definedName>
    <definedName function="false" hidden="false" localSheetId="3" name="_xlnm.Print_Area" vbProcedure="false">集計!$A$1:$F$29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<sst xmlns="http://schemas.openxmlformats.org/spreadsheetml/2006/main" count="197" uniqueCount="144">
  <si>
    <r>
      <rPr>
        <b val="true"/>
        <sz val="16"/>
        <color rgb="FF3A2A18"/>
        <rFont val="Noto Sans CJK SC"/>
        <family val="2"/>
      </rPr>
      <t xml:space="preserve">安全パトロール・是正管理簿（</t>
    </r>
    <r>
      <rPr>
        <b val="true"/>
        <sz val="16"/>
        <color rgb="FF3A2A18"/>
        <rFont val="Yu Gothic"/>
        <family val="0"/>
        <charset val="1"/>
      </rPr>
      <t xml:space="preserve">Excel</t>
    </r>
    <r>
      <rPr>
        <b val="true"/>
        <sz val="16"/>
        <color rgb="FF3A2A18"/>
        <rFont val="Noto Sans CJK SC"/>
        <family val="2"/>
      </rPr>
      <t xml:space="preserve">版）</t>
    </r>
  </si>
  <si>
    <t xml:space="preserve">現場パトロールの指摘を「指摘 → 是正期限 → 是正完了 → 確認」まで追いかけるための台帳です。</t>
  </si>
  <si>
    <t xml:space="preserve">■ シートの使い分け</t>
  </si>
  <si>
    <t xml:space="preserve">是正管理簿</t>
  </si>
  <si>
    <r>
      <rPr>
        <sz val="10"/>
        <rFont val="Noto Sans CJK SC"/>
        <family val="2"/>
      </rPr>
      <t xml:space="preserve">すべての指摘を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行ずつ入力する台帳です。まずここに入力します。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横。</t>
    </r>
  </si>
  <si>
    <t xml:space="preserve">パトロール報告書</t>
  </si>
  <si>
    <r>
      <rPr>
        <sz val="10"/>
        <rFont val="Noto Sans CJK SC"/>
        <family val="2"/>
      </rPr>
      <t xml:space="preserve">実施日と現場名を選ぶと、その回の指摘だけを抜き出して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枚の報告書になります。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縦・確認印欄つき。</t>
    </r>
  </si>
  <si>
    <t xml:space="preserve">集計</t>
  </si>
  <si>
    <t xml:space="preserve">指摘区分別の件数と是正率。自動集計のみで、書き換えは不要です。</t>
  </si>
  <si>
    <t xml:space="preserve">記入例</t>
  </si>
  <si>
    <t xml:space="preserve">入力のしかたのサンプル。実データは入れずに、見本として残しておく想定です。</t>
  </si>
  <si>
    <t xml:space="preserve">マスタ</t>
  </si>
  <si>
    <t xml:space="preserve">ドロップダウンの選択肢と、危険度ごとの是正日数。自社の言い方・日数に書き換えられます。</t>
  </si>
  <si>
    <t xml:space="preserve">■ 入力するセルと自動のセル</t>
  </si>
  <si>
    <t xml:space="preserve">白いセル</t>
  </si>
  <si>
    <t xml:space="preserve">入力欄です。</t>
  </si>
  <si>
    <t xml:space="preserve">薄い灰色のセル</t>
  </si>
  <si>
    <t xml:space="preserve">数式が入っています。書き換えないでください。</t>
  </si>
  <si>
    <t xml:space="preserve">No</t>
  </si>
  <si>
    <t xml:space="preserve">指摘内容を入力すると自動で連番になります。</t>
  </si>
  <si>
    <t xml:space="preserve">是正期限</t>
  </si>
  <si>
    <t xml:space="preserve">実施日＋危険度の日数。「期限（指定）」に日付を入れると、そちらが優先されます。</t>
  </si>
  <si>
    <t xml:space="preserve">状態</t>
  </si>
  <si>
    <t xml:space="preserve">確認済み／是正済み（確認待ち）／期限超過／未是正 を自動判定します。</t>
  </si>
  <si>
    <t xml:space="preserve">残日数</t>
  </si>
  <si>
    <t xml:space="preserve">是正期限までの日数。マイナスは超過日数です。</t>
  </si>
  <si>
    <t xml:space="preserve">■ 危険度と是正期限</t>
  </si>
  <si>
    <t xml:space="preserve">A</t>
  </si>
  <si>
    <t xml:space="preserve">即時是正。実施日の翌日を期限とします。</t>
  </si>
  <si>
    <t xml:space="preserve">B</t>
  </si>
  <si>
    <r>
      <rPr>
        <sz val="10"/>
        <rFont val="Noto Sans CJK SC"/>
        <family val="2"/>
      </rPr>
      <t xml:space="preserve">早期是正。実施日から</t>
    </r>
    <r>
      <rPr>
        <sz val="10"/>
        <rFont val="Yu Gothic"/>
        <family val="0"/>
        <charset val="1"/>
      </rPr>
      <t xml:space="preserve">7</t>
    </r>
    <r>
      <rPr>
        <sz val="10"/>
        <rFont val="Noto Sans CJK SC"/>
        <family val="2"/>
      </rPr>
      <t xml:space="preserve">日後を期限とします。</t>
    </r>
  </si>
  <si>
    <t xml:space="preserve">C</t>
  </si>
  <si>
    <r>
      <rPr>
        <sz val="10"/>
        <rFont val="Noto Sans CJK SC"/>
        <family val="2"/>
      </rPr>
      <t xml:space="preserve">計画的是正。実施日から</t>
    </r>
    <r>
      <rPr>
        <sz val="10"/>
        <rFont val="Yu Gothic"/>
        <family val="0"/>
        <charset val="1"/>
      </rPr>
      <t xml:space="preserve">30</t>
    </r>
    <r>
      <rPr>
        <sz val="10"/>
        <rFont val="Noto Sans CJK SC"/>
        <family val="2"/>
      </rPr>
      <t xml:space="preserve">日後を期限とします。</t>
    </r>
  </si>
  <si>
    <t xml:space="preserve">※この日数は自社運用の目安です。法令で定められた日数ではありません。マスタシートで変更できます。</t>
  </si>
  <si>
    <t xml:space="preserve">■ 行の色</t>
  </si>
  <si>
    <t xml:space="preserve">赤</t>
  </si>
  <si>
    <t xml:space="preserve">未是正のまま是正期限を過ぎている行。</t>
  </si>
  <si>
    <t xml:space="preserve">黄</t>
  </si>
  <si>
    <r>
      <rPr>
        <sz val="10"/>
        <rFont val="Noto Sans CJK SC"/>
        <family val="2"/>
      </rPr>
      <t xml:space="preserve">是正期限まで</t>
    </r>
    <r>
      <rPr>
        <sz val="10"/>
        <rFont val="Yu Gothic"/>
        <family val="0"/>
        <charset val="1"/>
      </rPr>
      <t xml:space="preserve">3</t>
    </r>
    <r>
      <rPr>
        <sz val="10"/>
        <rFont val="Noto Sans CJK SC"/>
        <family val="2"/>
      </rPr>
      <t xml:space="preserve">日以内の行。</t>
    </r>
  </si>
  <si>
    <t xml:space="preserve">緑</t>
  </si>
  <si>
    <t xml:space="preserve">確認済み（完了）の行。</t>
  </si>
  <si>
    <t xml:space="preserve">■ 報告書の作り方</t>
  </si>
  <si>
    <t xml:space="preserve">パトロール報告書シートの「実施日」と「現場名」に、是正管理簿へ入力したものと同じ値を入れてください。</t>
  </si>
  <si>
    <r>
      <rPr>
        <sz val="10"/>
        <rFont val="Noto Sans CJK SC"/>
        <family val="2"/>
      </rPr>
      <t xml:space="preserve">その組み合わせに一致する指摘が、上から順に最大</t>
    </r>
    <r>
      <rPr>
        <sz val="10"/>
        <rFont val="Yu Gothic"/>
        <family val="0"/>
        <charset val="1"/>
      </rPr>
      <t xml:space="preserve">20</t>
    </r>
    <r>
      <rPr>
        <sz val="10"/>
        <rFont val="Noto Sans CJK SC"/>
        <family val="2"/>
      </rPr>
      <t xml:space="preserve">件まで自動で並びます。</t>
    </r>
  </si>
  <si>
    <r>
      <rPr>
        <sz val="10"/>
        <rFont val="Noto Sans CJK SC"/>
        <family val="2"/>
      </rPr>
      <t xml:space="preserve">総評は報告書シートに直接入力します（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回ごとに書き換えてください）。</t>
    </r>
  </si>
  <si>
    <t xml:space="preserve">■ 印刷</t>
  </si>
  <si>
    <r>
      <rPr>
        <sz val="10"/>
        <rFont val="Noto Sans CJK SC"/>
        <family val="2"/>
      </rPr>
      <t xml:space="preserve">是正管理簿＝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横・幅に合わせて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ページ・見出し行の繰り返しあり。パトロール報告書＝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縦・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ページ。</t>
    </r>
  </si>
  <si>
    <r>
      <rPr>
        <sz val="10"/>
        <rFont val="Noto Sans CJK SC"/>
        <family val="2"/>
      </rPr>
      <t xml:space="preserve">是正管理簿の既定の印刷範囲は先頭</t>
    </r>
    <r>
      <rPr>
        <sz val="10"/>
        <rFont val="Yu Gothic"/>
        <family val="0"/>
        <charset val="1"/>
      </rPr>
      <t xml:space="preserve">50</t>
    </r>
    <r>
      <rPr>
        <sz val="10"/>
        <rFont val="Noto Sans CJK SC"/>
        <family val="2"/>
      </rPr>
      <t xml:space="preserve">行です。それより下も印刷するときは［ページレイアウト］→［印刷範囲］で広げてください。</t>
    </r>
  </si>
  <si>
    <t xml:space="preserve">■ 出典・前提</t>
  </si>
  <si>
    <r>
      <rPr>
        <sz val="10"/>
        <rFont val="Noto Sans CJK SC"/>
        <family val="2"/>
      </rPr>
      <t xml:space="preserve">セコサポの</t>
    </r>
    <r>
      <rPr>
        <sz val="10"/>
        <rFont val="Yu Gothic"/>
        <family val="0"/>
        <charset val="1"/>
      </rPr>
      <t xml:space="preserve">Web</t>
    </r>
    <r>
      <rPr>
        <sz val="10"/>
        <rFont val="Noto Sans CJK SC"/>
        <family val="2"/>
      </rPr>
      <t xml:space="preserve">ツール版と同じ判定ロジックを、</t>
    </r>
    <r>
      <rPr>
        <sz val="10"/>
        <rFont val="Yu Gothic"/>
        <family val="0"/>
        <charset val="1"/>
      </rPr>
      <t xml:space="preserve">Excel</t>
    </r>
    <r>
      <rPr>
        <sz val="10"/>
        <rFont val="Noto Sans CJK SC"/>
        <family val="2"/>
      </rPr>
      <t xml:space="preserve">の数式で再現したものです。</t>
    </r>
  </si>
  <si>
    <r>
      <rPr>
        <sz val="10"/>
        <rFont val="Noto Sans CJK SC"/>
        <family val="2"/>
      </rPr>
      <t xml:space="preserve">危険度ごとの日数と、期限まで</t>
    </r>
    <r>
      <rPr>
        <sz val="10"/>
        <rFont val="Yu Gothic"/>
        <family val="0"/>
        <charset val="1"/>
      </rPr>
      <t xml:space="preserve">3</t>
    </r>
    <r>
      <rPr>
        <sz val="10"/>
        <rFont val="Noto Sans CJK SC"/>
        <family val="2"/>
      </rPr>
      <t xml:space="preserve">日以内を警告する基準は、いずれも運用上の目安として設定しています。</t>
    </r>
  </si>
  <si>
    <t xml:space="preserve">安 全 パ ト ロ ー ル 　 指 摘 ・ 是 正 管 理 簿</t>
  </si>
  <si>
    <t xml:space="preserve">事業場名</t>
  </si>
  <si>
    <t xml:space="preserve">部署</t>
  </si>
  <si>
    <t xml:space="preserve">作成日</t>
  </si>
  <si>
    <t xml:space="preserve">安全管理者</t>
  </si>
  <si>
    <t xml:space="preserve">備考</t>
  </si>
  <si>
    <t xml:space="preserve">実施日</t>
  </si>
  <si>
    <t xml:space="preserve">現場名</t>
  </si>
  <si>
    <t xml:space="preserve">パトロール区分</t>
  </si>
  <si>
    <t xml:space="preserve">パトロール者</t>
  </si>
  <si>
    <t xml:space="preserve">指摘区分</t>
  </si>
  <si>
    <t xml:space="preserve">場所</t>
  </si>
  <si>
    <t xml:space="preserve">指摘内容</t>
  </si>
  <si>
    <t xml:space="preserve">危険度</t>
  </si>
  <si>
    <t xml:space="preserve">期限（指定）</t>
  </si>
  <si>
    <t xml:space="preserve">是正担当</t>
  </si>
  <si>
    <t xml:space="preserve">是正内容・対策</t>
  </si>
  <si>
    <t xml:space="preserve">是正完了日</t>
  </si>
  <si>
    <t xml:space="preserve">確認日</t>
  </si>
  <si>
    <t xml:space="preserve">安 全 パ ト ロ ー ル 報 告 書</t>
  </si>
  <si>
    <t xml:space="preserve">天候</t>
  </si>
  <si>
    <t xml:space="preserve">区分</t>
  </si>
  <si>
    <t xml:space="preserve">同行者</t>
  </si>
  <si>
    <t xml:space="preserve">現場側参加者</t>
  </si>
  <si>
    <t xml:space="preserve">事業場</t>
  </si>
  <si>
    <t xml:space="preserve">指摘件数</t>
  </si>
  <si>
    <t xml:space="preserve">※ 実施日と現場名は、是正管理簿に入力したものと同じ値にしてください。一致した指摘が下に並びます。</t>
  </si>
  <si>
    <t xml:space="preserve">指摘内容／是正内容</t>
  </si>
  <si>
    <t xml:space="preserve">是正完了</t>
  </si>
  <si>
    <t xml:space="preserve">確認</t>
  </si>
  <si>
    <t xml:space="preserve">総評・良かった点</t>
  </si>
  <si>
    <t xml:space="preserve">作成</t>
  </si>
  <si>
    <t xml:space="preserve">承認</t>
  </si>
  <si>
    <t xml:space="preserve">指 摘 の 集 計</t>
  </si>
  <si>
    <t xml:space="preserve">「是正管理簿」シートの入力から自動集計します。数値を直接書き換えないでください。</t>
  </si>
  <si>
    <t xml:space="preserve">全体</t>
  </si>
  <si>
    <t xml:space="preserve">件数</t>
  </si>
  <si>
    <r>
      <rPr>
        <sz val="10"/>
        <rFont val="Noto Sans CJK SC"/>
        <family val="2"/>
      </rPr>
      <t xml:space="preserve">危険度</t>
    </r>
    <r>
      <rPr>
        <sz val="10"/>
        <rFont val="Yu Gothic"/>
        <family val="0"/>
        <charset val="1"/>
      </rPr>
      <t xml:space="preserve">A</t>
    </r>
    <r>
      <rPr>
        <sz val="10"/>
        <rFont val="Noto Sans CJK SC"/>
        <family val="2"/>
      </rPr>
      <t xml:space="preserve">（即時）</t>
    </r>
  </si>
  <si>
    <t xml:space="preserve">是正済み（確認待ちを含む）</t>
  </si>
  <si>
    <t xml:space="preserve">確認済み（完了）</t>
  </si>
  <si>
    <t xml:space="preserve">未是正</t>
  </si>
  <si>
    <t xml:space="preserve">是正期限 超過</t>
  </si>
  <si>
    <t xml:space="preserve">是正・確認 完了率</t>
  </si>
  <si>
    <t xml:space="preserve">指摘区分別</t>
  </si>
  <si>
    <r>
      <rPr>
        <b val="true"/>
        <sz val="9.5"/>
        <color rgb="FF1F2937"/>
        <rFont val="Noto Sans CJK SC"/>
        <family val="2"/>
      </rPr>
      <t xml:space="preserve">危険度</t>
    </r>
    <r>
      <rPr>
        <b val="true"/>
        <sz val="9.5"/>
        <color rgb="FF1F2937"/>
        <rFont val="Yu Gothic"/>
        <family val="0"/>
        <charset val="1"/>
      </rPr>
      <t xml:space="preserve">A</t>
    </r>
  </si>
  <si>
    <t xml:space="preserve">確認済み</t>
  </si>
  <si>
    <t xml:space="preserve">期限超過</t>
  </si>
  <si>
    <t xml:space="preserve">是正率</t>
  </si>
  <si>
    <t xml:space="preserve">合計</t>
  </si>
  <si>
    <r>
      <rPr>
        <sz val="9"/>
        <color rgb="FF6B7280"/>
        <rFont val="Noto Sans CJK SC"/>
        <family val="2"/>
      </rPr>
      <t xml:space="preserve">件数の多い区分ほど、その現場で繰り返し起きている不安全状態です。次回の</t>
    </r>
    <r>
      <rPr>
        <sz val="9"/>
        <color rgb="FF6B7280"/>
        <rFont val="Yu Gothic"/>
        <family val="0"/>
        <charset val="1"/>
      </rPr>
      <t xml:space="preserve">KY</t>
    </r>
    <r>
      <rPr>
        <sz val="9"/>
        <color rgb="FF6B7280"/>
        <rFont val="Noto Sans CJK SC"/>
        <family val="2"/>
      </rPr>
      <t xml:space="preserve">活動や朝礼のテーマ選びに使えます。</t>
    </r>
  </si>
  <si>
    <r>
      <rPr>
        <b val="true"/>
        <sz val="11"/>
        <color rgb="FF3A2A18"/>
        <rFont val="Noto Sans CJK SC"/>
        <family val="2"/>
      </rPr>
      <t xml:space="preserve">記入例（この</t>
    </r>
    <r>
      <rPr>
        <b val="true"/>
        <sz val="11"/>
        <color rgb="FF3A2A18"/>
        <rFont val="Yu Gothic"/>
        <family val="0"/>
        <charset val="1"/>
      </rPr>
      <t xml:space="preserve">3</t>
    </r>
    <r>
      <rPr>
        <b val="true"/>
        <sz val="11"/>
        <color rgb="FF3A2A18"/>
        <rFont val="Noto Sans CJK SC"/>
        <family val="2"/>
      </rPr>
      <t xml:space="preserve">行を参考に、是正管理簿シートへ入力してください）</t>
    </r>
  </si>
  <si>
    <t xml:space="preserve">サンプルビル 電気設備工事</t>
  </si>
  <si>
    <t xml:space="preserve">社内 安全パトロール</t>
  </si>
  <si>
    <t xml:space="preserve">山田 太郎</t>
  </si>
  <si>
    <t xml:space="preserve">開口部・手すり</t>
  </si>
  <si>
    <r>
      <rPr>
        <sz val="10"/>
        <rFont val="Yu Gothic"/>
        <family val="0"/>
        <charset val="1"/>
      </rPr>
      <t xml:space="preserve">3</t>
    </r>
    <r>
      <rPr>
        <sz val="10"/>
        <rFont val="Noto Sans CJK SC"/>
        <family val="2"/>
      </rPr>
      <t xml:space="preserve">階 東側 </t>
    </r>
    <r>
      <rPr>
        <sz val="10"/>
        <rFont val="Yu Gothic"/>
        <family val="0"/>
        <charset val="1"/>
      </rPr>
      <t xml:space="preserve">EPS</t>
    </r>
    <r>
      <rPr>
        <sz val="10"/>
        <rFont val="Noto Sans CJK SC"/>
        <family val="2"/>
      </rPr>
      <t xml:space="preserve">前</t>
    </r>
  </si>
  <si>
    <r>
      <rPr>
        <sz val="10"/>
        <rFont val="Yu Gothic"/>
        <family val="0"/>
        <charset val="1"/>
      </rPr>
      <t xml:space="preserve">EPS</t>
    </r>
    <r>
      <rPr>
        <sz val="10"/>
        <rFont val="Noto Sans CJK SC"/>
        <family val="2"/>
      </rPr>
      <t xml:space="preserve">開口部の手すりが外れたまま復旧されていない</t>
    </r>
  </si>
  <si>
    <t xml:space="preserve">サンプル電気工事店 鈴木</t>
  </si>
  <si>
    <t xml:space="preserve">手すりを復旧し、開口部注意の表示を掲示</t>
  </si>
  <si>
    <t xml:space="preserve">整理整頓・通路</t>
  </si>
  <si>
    <r>
      <rPr>
        <sz val="10"/>
        <rFont val="Yu Gothic"/>
        <family val="0"/>
        <charset val="1"/>
      </rPr>
      <t xml:space="preserve">2</t>
    </r>
    <r>
      <rPr>
        <sz val="10"/>
        <rFont val="Noto Sans CJK SC"/>
        <family val="2"/>
      </rPr>
      <t xml:space="preserve">階 北側 通路</t>
    </r>
  </si>
  <si>
    <t xml:space="preserve">電線ドラムと脚立が通路にはみ出し、安全通路が確保されていない</t>
  </si>
  <si>
    <t xml:space="preserve">資材置場へ移動し、通路幅を確保。区画テープを引き直し</t>
  </si>
  <si>
    <t xml:space="preserve">是正済み（確認待ち）</t>
  </si>
  <si>
    <t xml:space="preserve">サンプル工場 動力盤更新工事</t>
  </si>
  <si>
    <t xml:space="preserve">元請 安全パトロール</t>
  </si>
  <si>
    <t xml:space="preserve">佐藤 健</t>
  </si>
  <si>
    <t xml:space="preserve">感電・電気</t>
  </si>
  <si>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階 仮設分電盤</t>
    </r>
  </si>
  <si>
    <t xml:space="preserve">仮設分電盤の扉が開放されたまま。漏電遮断器の作動確認記録がない</t>
  </si>
  <si>
    <t xml:space="preserve">施錠のうえ、毎日の始業前に作動確認を記録</t>
  </si>
  <si>
    <t xml:space="preserve">期限超過（未是正）</t>
  </si>
  <si>
    <t xml:space="preserve">「是正期限」「状態」は本来は自動計算です。ここでは見本として値を直接入れています。</t>
  </si>
  <si>
    <t xml:space="preserve">選択肢と設定</t>
  </si>
  <si>
    <t xml:space="preserve">是正までの日数</t>
  </si>
  <si>
    <t xml:space="preserve">意味</t>
  </si>
  <si>
    <t xml:space="preserve">墜落・転落</t>
  </si>
  <si>
    <t xml:space="preserve">即時是正（当日）</t>
  </si>
  <si>
    <r>
      <rPr>
        <sz val="10"/>
        <rFont val="Noto Sans CJK SC"/>
        <family val="2"/>
      </rPr>
      <t xml:space="preserve">早期是正（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週間以内）</t>
    </r>
  </si>
  <si>
    <t xml:space="preserve">店社 安全衛生パトロール</t>
  </si>
  <si>
    <r>
      <rPr>
        <sz val="10"/>
        <rFont val="Noto Sans CJK SC"/>
        <family val="2"/>
      </rPr>
      <t xml:space="preserve">計画的是正（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か月以内）</t>
    </r>
  </si>
  <si>
    <t xml:space="preserve">災害防止協議会 巡視</t>
  </si>
  <si>
    <t xml:space="preserve">飛来・落下</t>
  </si>
  <si>
    <t xml:space="preserve">安全衛生委員会 巡視</t>
  </si>
  <si>
    <t xml:space="preserve">重機・車両</t>
  </si>
  <si>
    <t xml:space="preserve">その他</t>
  </si>
  <si>
    <t xml:space="preserve">工具・機械</t>
  </si>
  <si>
    <t xml:space="preserve">保護具・服装</t>
  </si>
  <si>
    <t xml:space="preserve">表示・掲示</t>
  </si>
  <si>
    <t xml:space="preserve">火気・危険物</t>
  </si>
  <si>
    <t xml:space="preserve">健康・熱中症</t>
  </si>
  <si>
    <t xml:space="preserve">このシートの語句を書き換えると、是正管理簿のドロップダウンの選択肢も変わります。</t>
  </si>
  <si>
    <r>
      <rPr>
        <sz val="9"/>
        <color rgb="FF6B7280"/>
        <rFont val="Noto Sans CJK SC"/>
        <family val="2"/>
      </rPr>
      <t xml:space="preserve">危険度の日数（</t>
    </r>
    <r>
      <rPr>
        <sz val="9"/>
        <color rgb="FF6B7280"/>
        <rFont val="Yu Gothic"/>
        <family val="0"/>
        <charset val="1"/>
      </rPr>
      <t xml:space="preserve">A=1</t>
    </r>
    <r>
      <rPr>
        <sz val="9"/>
        <color rgb="FF6B7280"/>
        <rFont val="Noto Sans CJK SC"/>
        <family val="2"/>
      </rPr>
      <t xml:space="preserve">日／</t>
    </r>
    <r>
      <rPr>
        <sz val="9"/>
        <color rgb="FF6B7280"/>
        <rFont val="Yu Gothic"/>
        <family val="0"/>
        <charset val="1"/>
      </rPr>
      <t xml:space="preserve">B=7</t>
    </r>
    <r>
      <rPr>
        <sz val="9"/>
        <color rgb="FF6B7280"/>
        <rFont val="Noto Sans CJK SC"/>
        <family val="2"/>
      </rPr>
      <t xml:space="preserve">日／</t>
    </r>
    <r>
      <rPr>
        <sz val="9"/>
        <color rgb="FF6B7280"/>
        <rFont val="Yu Gothic"/>
        <family val="0"/>
        <charset val="1"/>
      </rPr>
      <t xml:space="preserve">C=30</t>
    </r>
    <r>
      <rPr>
        <sz val="9"/>
        <color rgb="FF6B7280"/>
        <rFont val="Noto Sans CJK SC"/>
        <family val="2"/>
      </rPr>
      <t xml:space="preserve">日）は自社運用の目安です。法令で定められた日数ではありません。</t>
    </r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</si>
</sst>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yyyy/m/d"/>
    <numFmt numFmtId="166" formatCode="0\日"/>
    <numFmt numFmtId="167" formatCode="General"/>
    <numFmt numFmtId="168" formatCode="0%"/>
  </numFmts>
  <fonts count="2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3A2A18"/>
      <name val="Noto Sans CJK SC"/>
      <family val="2"/>
    </font>
    <font>
      <b val="true"/>
      <sz val="16"/>
      <color rgb="FF3A2A18"/>
      <name val="Yu Gothic"/>
      <family val="0"/>
      <charset val="1"/>
    </font>
    <font>
      <sz val="9"/>
      <color rgb="FF6B7280"/>
      <name val="Noto Sans CJK SC"/>
      <family val="2"/>
    </font>
    <font>
      <b val="true"/>
      <sz val="11"/>
      <color rgb="FF3A2A18"/>
      <name val="Noto Sans CJK SC"/>
      <family val="2"/>
    </font>
    <font>
      <b val="true"/>
      <sz val="10"/>
      <name val="Noto Sans CJK SC"/>
      <family val="2"/>
    </font>
    <font>
      <sz val="10"/>
      <name val="Noto Sans CJK SC"/>
      <family val="2"/>
    </font>
    <font>
      <sz val="10"/>
      <name val="Yu Gothic"/>
      <family val="0"/>
      <charset val="1"/>
    </font>
    <font>
      <b val="true"/>
      <sz val="10"/>
      <name val="Yu Gothic"/>
      <family val="0"/>
      <charset val="1"/>
    </font>
    <font>
      <b val="true"/>
      <sz val="15"/>
      <color rgb="FF3A2A18"/>
      <name val="Noto Sans CJK SC"/>
      <family val="2"/>
    </font>
    <font>
      <b val="true"/>
      <sz val="9.5"/>
      <color rgb="FF374151"/>
      <name val="Noto Sans CJK SC"/>
      <family val="2"/>
    </font>
    <font>
      <b val="true"/>
      <sz val="9.5"/>
      <color rgb="FF1F2937"/>
      <name val="Yu Gothic"/>
      <family val="0"/>
      <charset val="1"/>
    </font>
    <font>
      <b val="true"/>
      <sz val="9.5"/>
      <color rgb="FF1F2937"/>
      <name val="Noto Sans CJK SC"/>
      <family val="2"/>
    </font>
    <font>
      <b val="true"/>
      <sz val="17"/>
      <color rgb="FF3A2A18"/>
      <name val="Noto Sans CJK SC"/>
      <family val="2"/>
    </font>
    <font>
      <b val="true"/>
      <sz val="11"/>
      <name val="Yu Gothic"/>
      <family val="0"/>
      <charset val="1"/>
    </font>
    <font>
      <sz val="9"/>
      <color rgb="FF6B7280"/>
      <name val="Yu Gothic"/>
      <family val="0"/>
      <charset val="1"/>
    </font>
    <font>
      <b val="true"/>
      <sz val="11"/>
      <color rgb="FF3A2A18"/>
      <name val="Yu Gothic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2F5F9"/>
        <bgColor rgb="FFF7F9FC"/>
      </patternFill>
    </fill>
    <fill>
      <patternFill patternType="solid">
        <fgColor rgb="FFFFFFFF"/>
        <bgColor rgb="FFF7F9FC"/>
      </patternFill>
    </fill>
    <fill>
      <patternFill patternType="solid">
        <fgColor rgb="FFE4E9F0"/>
        <bgColor rgb="FFE8F5EF"/>
      </patternFill>
    </fill>
    <fill>
      <patternFill patternType="solid">
        <fgColor rgb="FFF7F9FC"/>
        <bgColor rgb="FFF2F5F9"/>
      </patternFill>
    </fill>
  </fills>
  <borders count="27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374151"/>
      </bottom>
      <diagonal/>
    </border>
    <border diagonalUp="false" diagonalDown="false">
      <left style="medium">
        <color rgb="FF374151"/>
      </left>
      <right style="thin">
        <color rgb="FF6B7280"/>
      </right>
      <top style="medium">
        <color rgb="FF374151"/>
      </top>
      <bottom style="thin">
        <color rgb="FF6B7280"/>
      </bottom>
      <diagonal/>
    </border>
    <border diagonalUp="false" diagonalDown="false">
      <left style="thin">
        <color rgb="FF6B7280"/>
      </left>
      <right style="thin">
        <color rgb="FF6B7280"/>
      </right>
      <top style="medium">
        <color rgb="FF374151"/>
      </top>
      <bottom style="thin">
        <color rgb="FF6B7280"/>
      </bottom>
      <diagonal/>
    </border>
    <border diagonalUp="false" diagonalDown="false">
      <left style="thin">
        <color rgb="FF6B7280"/>
      </left>
      <right style="medium">
        <color rgb="FF374151"/>
      </right>
      <top style="medium">
        <color rgb="FF374151"/>
      </top>
      <bottom style="thin">
        <color rgb="FF6B7280"/>
      </bottom>
      <diagonal/>
    </border>
    <border diagonalUp="false" diagonalDown="false">
      <left style="medium">
        <color rgb="FF374151"/>
      </left>
      <right style="thin">
        <color rgb="FF6B7280"/>
      </right>
      <top style="thin">
        <color rgb="FF6B7280"/>
      </top>
      <bottom style="medium">
        <color rgb="FF374151"/>
      </bottom>
      <diagonal/>
    </border>
    <border diagonalUp="false" diagonalDown="false">
      <left style="thin">
        <color rgb="FF6B7280"/>
      </left>
      <right style="thin">
        <color rgb="FF6B7280"/>
      </right>
      <top style="thin">
        <color rgb="FF6B7280"/>
      </top>
      <bottom style="medium">
        <color rgb="FF374151"/>
      </bottom>
      <diagonal/>
    </border>
    <border diagonalUp="false" diagonalDown="false">
      <left style="thin">
        <color rgb="FF6B7280"/>
      </left>
      <right style="medium">
        <color rgb="FF374151"/>
      </right>
      <top style="thin">
        <color rgb="FF6B7280"/>
      </top>
      <bottom style="medium">
        <color rgb="FF374151"/>
      </bottom>
      <diagonal/>
    </border>
    <border diagonalUp="false" diagonalDown="false">
      <left style="medium">
        <color rgb="FF374151"/>
      </left>
      <right style="thin">
        <color rgb="FF6B7280"/>
      </right>
      <top style="medium">
        <color rgb="FF374151"/>
      </top>
      <bottom style="medium">
        <color rgb="FF374151"/>
      </bottom>
      <diagonal/>
    </border>
    <border diagonalUp="false" diagonalDown="false">
      <left style="thin">
        <color rgb="FF6B7280"/>
      </left>
      <right style="thin">
        <color rgb="FF6B7280"/>
      </right>
      <top style="medium">
        <color rgb="FF374151"/>
      </top>
      <bottom style="medium">
        <color rgb="FF374151"/>
      </bottom>
      <diagonal/>
    </border>
    <border diagonalUp="false" diagonalDown="false">
      <left style="thin">
        <color rgb="FF6B7280"/>
      </left>
      <right style="medium">
        <color rgb="FF374151"/>
      </right>
      <top style="medium">
        <color rgb="FF374151"/>
      </top>
      <bottom style="medium">
        <color rgb="FF374151"/>
      </bottom>
      <diagonal/>
    </border>
    <border diagonalUp="false" diagonalDown="false">
      <left style="medium">
        <color rgb="FF374151"/>
      </left>
      <right style="hair">
        <color rgb="FF9AA3B0"/>
      </right>
      <top style="hair">
        <color rgb="FF9AA3B0"/>
      </top>
      <bottom style="hair">
        <color rgb="FF9AA3B0"/>
      </bottom>
      <diagonal/>
    </border>
    <border diagonalUp="false" diagonalDown="false">
      <left style="hair">
        <color rgb="FF9AA3B0"/>
      </left>
      <right style="hair">
        <color rgb="FF9AA3B0"/>
      </right>
      <top style="hair">
        <color rgb="FF9AA3B0"/>
      </top>
      <bottom style="hair">
        <color rgb="FF9AA3B0"/>
      </bottom>
      <diagonal/>
    </border>
    <border diagonalUp="false" diagonalDown="false">
      <left style="hair">
        <color rgb="FF9AA3B0"/>
      </left>
      <right style="medium">
        <color rgb="FF374151"/>
      </right>
      <top style="hair">
        <color rgb="FF9AA3B0"/>
      </top>
      <bottom style="hair">
        <color rgb="FF9AA3B0"/>
      </bottom>
      <diagonal/>
    </border>
    <border diagonalUp="false" diagonalDown="false">
      <left style="medium">
        <color rgb="FF374151"/>
      </left>
      <right style="hair">
        <color rgb="FF9AA3B0"/>
      </right>
      <top style="hair">
        <color rgb="FF9AA3B0"/>
      </top>
      <bottom style="medium">
        <color rgb="FF374151"/>
      </bottom>
      <diagonal/>
    </border>
    <border diagonalUp="false" diagonalDown="false">
      <left style="hair">
        <color rgb="FF9AA3B0"/>
      </left>
      <right style="hair">
        <color rgb="FF9AA3B0"/>
      </right>
      <top style="hair">
        <color rgb="FF9AA3B0"/>
      </top>
      <bottom style="medium">
        <color rgb="FF374151"/>
      </bottom>
      <diagonal/>
    </border>
    <border diagonalUp="false" diagonalDown="false">
      <left style="hair">
        <color rgb="FF9AA3B0"/>
      </left>
      <right style="medium">
        <color rgb="FF374151"/>
      </right>
      <top style="hair">
        <color rgb="FF9AA3B0"/>
      </top>
      <bottom style="medium">
        <color rgb="FF374151"/>
      </bottom>
      <diagonal/>
    </border>
    <border diagonalUp="false" diagonalDown="false">
      <left style="medium">
        <color rgb="FF374151"/>
      </left>
      <right style="thin">
        <color rgb="FF6B7280"/>
      </right>
      <top style="thin">
        <color rgb="FF6B7280"/>
      </top>
      <bottom style="thin">
        <color rgb="FF6B7280"/>
      </bottom>
      <diagonal/>
    </border>
    <border diagonalUp="false" diagonalDown="false">
      <left style="thin">
        <color rgb="FF6B7280"/>
      </left>
      <right style="medium">
        <color rgb="FF374151"/>
      </right>
      <top style="thin">
        <color rgb="FF6B7280"/>
      </top>
      <bottom style="thin">
        <color rgb="FF6B7280"/>
      </bottom>
      <diagonal/>
    </border>
    <border diagonalUp="false" diagonalDown="false">
      <left style="thin">
        <color rgb="FF6B7280"/>
      </left>
      <right style="thin">
        <color rgb="FF6B7280"/>
      </right>
      <top style="thin">
        <color rgb="FF6B7280"/>
      </top>
      <bottom style="thin">
        <color rgb="FF6B7280"/>
      </bottom>
      <diagonal/>
    </border>
    <border diagonalUp="false" diagonalDown="false">
      <left style="medium">
        <color rgb="FF374151"/>
      </left>
      <right style="medium">
        <color rgb="FF374151"/>
      </right>
      <top style="medium">
        <color rgb="FF374151"/>
      </top>
      <bottom style="thin">
        <color rgb="FF6B7280"/>
      </bottom>
      <diagonal/>
    </border>
    <border diagonalUp="false" diagonalDown="false">
      <left style="medium">
        <color rgb="FF374151"/>
      </left>
      <right style="medium">
        <color rgb="FF374151"/>
      </right>
      <top style="thin">
        <color rgb="FF6B7280"/>
      </top>
      <bottom style="medium">
        <color rgb="FF374151"/>
      </bottom>
      <diagonal/>
    </border>
    <border diagonalUp="false" diagonalDown="false">
      <left style="medium">
        <color rgb="FF374151"/>
      </left>
      <right style="medium">
        <color rgb="FF374151"/>
      </right>
      <top style="medium">
        <color rgb="FF374151"/>
      </top>
      <bottom style="medium">
        <color rgb="FF374151"/>
      </bottom>
      <diagonal/>
    </border>
    <border diagonalUp="false" diagonalDown="false">
      <left style="medium">
        <color rgb="FF374151"/>
      </left>
      <right style="medium">
        <color rgb="FF374151"/>
      </right>
      <top style="hair">
        <color rgb="FF9AA3B0"/>
      </top>
      <bottom style="hair">
        <color rgb="FF9AA3B0"/>
      </bottom>
      <diagonal/>
    </border>
    <border diagonalUp="false" diagonalDown="false">
      <left style="medium">
        <color rgb="FF374151"/>
      </left>
      <right style="medium">
        <color rgb="FF374151"/>
      </right>
      <top/>
      <bottom/>
      <diagonal/>
    </border>
    <border diagonalUp="false" diagonalDown="false">
      <left style="medium">
        <color rgb="FF374151"/>
      </left>
      <right style="medium">
        <color rgb="FF374151"/>
      </right>
      <top/>
      <bottom style="medium">
        <color rgb="FF374151"/>
      </bottom>
      <diagonal/>
    </border>
    <border diagonalUp="false" diagonalDown="false">
      <left style="medium">
        <color rgb="FF374151"/>
      </left>
      <right style="medium">
        <color rgb="FF374151"/>
      </right>
      <top style="hair">
        <color rgb="FF9AA3B0"/>
      </top>
      <bottom style="medium">
        <color rgb="FF374151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3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4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4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5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3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1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3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5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5" borderId="1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0" fillId="5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5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3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3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5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0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3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2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1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2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3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2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2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3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7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7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4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1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1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3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3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4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4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26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9">
    <dxf>
      <fill>
        <patternFill patternType="solid">
          <fgColor rgb="FFE4E9F0"/>
          <bgColor rgb="FF000000"/>
        </patternFill>
      </fill>
    </dxf>
    <dxf>
      <fill>
        <patternFill patternType="solid">
          <fgColor rgb="FFF7F9FC"/>
          <bgColor rgb="FF000000"/>
        </patternFill>
      </fill>
    </dxf>
    <dxf>
      <fill>
        <patternFill patternType="solid">
          <fgColor rgb="FF1F2937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ont>
        <name val="Yu Gothic"/>
        <charset val="1"/>
        <family val="0"/>
        <color rgb="FF0F7B52"/>
        <sz val="10"/>
      </font>
      <fill>
        <patternFill>
          <bgColor rgb="FFE8F5EF"/>
        </patternFill>
      </fill>
    </dxf>
    <dxf>
      <font>
        <name val="Yu Gothic"/>
        <charset val="1"/>
        <family val="0"/>
        <b val="1"/>
        <color rgb="FFB02334"/>
        <sz val="10"/>
      </font>
      <fill>
        <patternFill>
          <bgColor rgb="FFFBE3E6"/>
        </patternFill>
      </fill>
    </dxf>
    <dxf>
      <font>
        <name val="Yu Gothic"/>
        <charset val="1"/>
        <family val="0"/>
        <color rgb="FF8A5A00"/>
        <sz val="10"/>
      </font>
      <fill>
        <patternFill>
          <bgColor rgb="FFFCF2DF"/>
        </patternFill>
      </fill>
    </dxf>
    <dxf>
      <font>
        <name val="Yu Gothic"/>
        <charset val="1"/>
        <family val="0"/>
        <b val="1"/>
        <color rgb="FFB02334"/>
        <sz val="10"/>
      </font>
      <fill>
        <patternFill>
          <bgColor rgb="FFF5CED3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A5A00"/>
      <rgbColor rgb="FF800080"/>
      <rgbColor rgb="FF0F7B52"/>
      <rgbColor rgb="FFC0C0C0"/>
      <rgbColor rgb="FF808080"/>
      <rgbColor rgb="FF9999FF"/>
      <rgbColor rgb="FFB02334"/>
      <rgbColor rgb="FFFCF2DF"/>
      <rgbColor rgb="FFE8F5EF"/>
      <rgbColor rgb="FF660066"/>
      <rgbColor rgb="FFFF8080"/>
      <rgbColor rgb="FF0066CC"/>
      <rgbColor rgb="FFFBE3E6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4E9F0"/>
      <rgbColor rgb="FFF2F5F9"/>
      <rgbColor rgb="FFF7F9FC"/>
      <rgbColor rgb="FF99CCFF"/>
      <rgbColor rgb="FFFF99CC"/>
      <rgbColor rgb="FFCC99FF"/>
      <rgbColor rgb="FFF5CED3"/>
      <rgbColor rgb="FF3366FF"/>
      <rgbColor rgb="FF33CCCC"/>
      <rgbColor rgb="FF99CC00"/>
      <rgbColor rgb="FFFFCC00"/>
      <rgbColor rgb="FFFF9900"/>
      <rgbColor rgb="FFFF6600"/>
      <rgbColor rgb="FF6B7280"/>
      <rgbColor rgb="FF9AA3B0"/>
      <rgbColor rgb="FF003366"/>
      <rgbColor rgb="FF339966"/>
      <rgbColor rgb="FF003300"/>
      <rgbColor rgb="FF3A2A18"/>
      <rgbColor rgb="FF993300"/>
      <rgbColor rgb="FF993366"/>
      <rgbColor rgb="FF374151"/>
      <rgbColor rgb="FF1F2937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4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2" min="2" style="0" width="92"/>
  </cols>
  <sheetData>
    <row r="1" customFormat="false" ht="23.8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  <c r="B4" s="3"/>
    </row>
    <row r="5" customFormat="false" ht="15" hidden="false" customHeight="false" outlineLevel="0" collapsed="false">
      <c r="A5" s="4" t="s">
        <v>3</v>
      </c>
      <c r="B5" s="5" t="s">
        <v>4</v>
      </c>
    </row>
    <row r="6" customFormat="false" ht="15" hidden="false" customHeight="false" outlineLevel="0" collapsed="false">
      <c r="A6" s="4" t="s">
        <v>5</v>
      </c>
      <c r="B6" s="5" t="s">
        <v>6</v>
      </c>
    </row>
    <row r="7" customFormat="false" ht="15" hidden="false" customHeight="false" outlineLevel="0" collapsed="false">
      <c r="A7" s="4" t="s">
        <v>7</v>
      </c>
      <c r="B7" s="5" t="s">
        <v>8</v>
      </c>
    </row>
    <row r="8" customFormat="false" ht="15" hidden="false" customHeight="false" outlineLevel="0" collapsed="false">
      <c r="A8" s="4" t="s">
        <v>9</v>
      </c>
      <c r="B8" s="5" t="s">
        <v>10</v>
      </c>
    </row>
    <row r="9" customFormat="false" ht="15" hidden="false" customHeight="false" outlineLevel="0" collapsed="false">
      <c r="A9" s="4" t="s">
        <v>11</v>
      </c>
      <c r="B9" s="5" t="s">
        <v>12</v>
      </c>
    </row>
    <row r="10" customFormat="false" ht="15" hidden="false" customHeight="false" outlineLevel="0" collapsed="false">
      <c r="A10" s="4"/>
      <c r="B10" s="5"/>
    </row>
    <row r="11" customFormat="false" ht="15" hidden="false" customHeight="false" outlineLevel="0" collapsed="false">
      <c r="A11" s="3" t="s">
        <v>13</v>
      </c>
      <c r="B11" s="3"/>
    </row>
    <row r="12" customFormat="false" ht="15" hidden="false" customHeight="false" outlineLevel="0" collapsed="false">
      <c r="A12" s="4" t="s">
        <v>14</v>
      </c>
      <c r="B12" s="5" t="s">
        <v>15</v>
      </c>
    </row>
    <row r="13" customFormat="false" ht="15" hidden="false" customHeight="false" outlineLevel="0" collapsed="false">
      <c r="A13" s="4" t="s">
        <v>16</v>
      </c>
      <c r="B13" s="5" t="s">
        <v>17</v>
      </c>
    </row>
    <row r="14" customFormat="false" ht="15" hidden="false" customHeight="false" outlineLevel="0" collapsed="false">
      <c r="A14" s="6" t="s">
        <v>18</v>
      </c>
      <c r="B14" s="5" t="s">
        <v>19</v>
      </c>
    </row>
    <row r="15" customFormat="false" ht="15" hidden="false" customHeight="false" outlineLevel="0" collapsed="false">
      <c r="A15" s="4" t="s">
        <v>20</v>
      </c>
      <c r="B15" s="5" t="s">
        <v>21</v>
      </c>
    </row>
    <row r="16" customFormat="false" ht="15" hidden="false" customHeight="false" outlineLevel="0" collapsed="false">
      <c r="A16" s="4" t="s">
        <v>22</v>
      </c>
      <c r="B16" s="5" t="s">
        <v>23</v>
      </c>
    </row>
    <row r="17" customFormat="false" ht="15" hidden="false" customHeight="false" outlineLevel="0" collapsed="false">
      <c r="A17" s="4" t="s">
        <v>24</v>
      </c>
      <c r="B17" s="5" t="s">
        <v>25</v>
      </c>
    </row>
    <row r="18" customFormat="false" ht="15" hidden="false" customHeight="false" outlineLevel="0" collapsed="false">
      <c r="A18" s="4"/>
      <c r="B18" s="5"/>
    </row>
    <row r="19" customFormat="false" ht="15" hidden="false" customHeight="false" outlineLevel="0" collapsed="false">
      <c r="A19" s="3" t="s">
        <v>26</v>
      </c>
      <c r="B19" s="3"/>
    </row>
    <row r="20" customFormat="false" ht="15" hidden="false" customHeight="false" outlineLevel="0" collapsed="false">
      <c r="A20" s="6" t="s">
        <v>27</v>
      </c>
      <c r="B20" s="5" t="s">
        <v>28</v>
      </c>
    </row>
    <row r="21" customFormat="false" ht="15" hidden="false" customHeight="false" outlineLevel="0" collapsed="false">
      <c r="A21" s="6" t="s">
        <v>29</v>
      </c>
      <c r="B21" s="5" t="s">
        <v>30</v>
      </c>
    </row>
    <row r="22" customFormat="false" ht="15" hidden="false" customHeight="false" outlineLevel="0" collapsed="false">
      <c r="A22" s="6" t="s">
        <v>31</v>
      </c>
      <c r="B22" s="5" t="s">
        <v>32</v>
      </c>
    </row>
    <row r="23" customFormat="false" ht="15" hidden="false" customHeight="false" outlineLevel="0" collapsed="false">
      <c r="A23" s="4"/>
      <c r="B23" s="5" t="s">
        <v>33</v>
      </c>
    </row>
    <row r="24" customFormat="false" ht="15" hidden="false" customHeight="false" outlineLevel="0" collapsed="false">
      <c r="A24" s="4"/>
      <c r="B24" s="5"/>
    </row>
    <row r="25" customFormat="false" ht="15" hidden="false" customHeight="false" outlineLevel="0" collapsed="false">
      <c r="A25" s="3" t="s">
        <v>34</v>
      </c>
      <c r="B25" s="3"/>
    </row>
    <row r="26" customFormat="false" ht="15" hidden="false" customHeight="false" outlineLevel="0" collapsed="false">
      <c r="A26" s="4" t="s">
        <v>35</v>
      </c>
      <c r="B26" s="5" t="s">
        <v>36</v>
      </c>
    </row>
    <row r="27" customFormat="false" ht="15" hidden="false" customHeight="false" outlineLevel="0" collapsed="false">
      <c r="A27" s="4" t="s">
        <v>37</v>
      </c>
      <c r="B27" s="5" t="s">
        <v>38</v>
      </c>
    </row>
    <row r="28" customFormat="false" ht="15" hidden="false" customHeight="false" outlineLevel="0" collapsed="false">
      <c r="A28" s="4" t="s">
        <v>39</v>
      </c>
      <c r="B28" s="5" t="s">
        <v>40</v>
      </c>
    </row>
    <row r="29" customFormat="false" ht="15" hidden="false" customHeight="false" outlineLevel="0" collapsed="false">
      <c r="A29" s="4"/>
      <c r="B29" s="5"/>
    </row>
    <row r="30" customFormat="false" ht="15" hidden="false" customHeight="false" outlineLevel="0" collapsed="false">
      <c r="A30" s="3" t="s">
        <v>41</v>
      </c>
      <c r="B30" s="3"/>
    </row>
    <row r="31" customFormat="false" ht="15" hidden="false" customHeight="false" outlineLevel="0" collapsed="false">
      <c r="A31" s="4"/>
      <c r="B31" s="5" t="s">
        <v>42</v>
      </c>
    </row>
    <row r="32" customFormat="false" ht="15" hidden="false" customHeight="false" outlineLevel="0" collapsed="false">
      <c r="A32" s="4"/>
      <c r="B32" s="5" t="s">
        <v>43</v>
      </c>
    </row>
    <row r="33" customFormat="false" ht="15" hidden="false" customHeight="false" outlineLevel="0" collapsed="false">
      <c r="A33" s="4"/>
      <c r="B33" s="5" t="s">
        <v>44</v>
      </c>
    </row>
    <row r="34" customFormat="false" ht="15" hidden="false" customHeight="false" outlineLevel="0" collapsed="false">
      <c r="A34" s="4"/>
      <c r="B34" s="5"/>
    </row>
    <row r="35" customFormat="false" ht="15" hidden="false" customHeight="false" outlineLevel="0" collapsed="false">
      <c r="A35" s="3" t="s">
        <v>45</v>
      </c>
      <c r="B35" s="3"/>
    </row>
    <row r="36" customFormat="false" ht="15" hidden="false" customHeight="false" outlineLevel="0" collapsed="false">
      <c r="A36" s="4"/>
      <c r="B36" s="5" t="s">
        <v>46</v>
      </c>
    </row>
    <row r="37" customFormat="false" ht="29.85" hidden="false" customHeight="false" outlineLevel="0" collapsed="false">
      <c r="A37" s="4"/>
      <c r="B37" s="5" t="s">
        <v>47</v>
      </c>
    </row>
    <row r="38" customFormat="false" ht="15" hidden="false" customHeight="false" outlineLevel="0" collapsed="false">
      <c r="A38" s="4"/>
      <c r="B38" s="5"/>
    </row>
    <row r="39" customFormat="false" ht="15" hidden="false" customHeight="false" outlineLevel="0" collapsed="false">
      <c r="A39" s="3" t="s">
        <v>48</v>
      </c>
      <c r="B39" s="3"/>
    </row>
    <row r="40" customFormat="false" ht="15" hidden="false" customHeight="false" outlineLevel="0" collapsed="false">
      <c r="A40" s="4"/>
      <c r="B40" s="5" t="s">
        <v>49</v>
      </c>
    </row>
    <row r="41" customFormat="false" ht="15" hidden="false" customHeight="false" outlineLevel="0" collapsed="false">
      <c r="A41" s="4"/>
      <c r="B41" s="5" t="s">
        <v>50</v>
      </c>
    </row>
  </sheetData>
  <mergeCells count="7">
    <mergeCell ref="A4:B4"/>
    <mergeCell ref="A11:B11"/>
    <mergeCell ref="A19:B19"/>
    <mergeCell ref="A25:B25"/>
    <mergeCell ref="A30:B30"/>
    <mergeCell ref="A35:B35"/>
    <mergeCell ref="A39:B39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R10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6" topLeftCell="A7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11"/>
    <col collapsed="false" customWidth="true" hidden="false" outlineLevel="0" max="3" min="3" style="0" width="24"/>
    <col collapsed="false" customWidth="true" hidden="false" outlineLevel="0" max="4" min="4" style="0" width="17"/>
    <col collapsed="false" customWidth="true" hidden="false" outlineLevel="0" max="5" min="5" style="0" width="12"/>
    <col collapsed="false" customWidth="true" hidden="false" outlineLevel="0" max="6" min="6" style="0" width="15"/>
    <col collapsed="false" customWidth="true" hidden="false" outlineLevel="0" max="7" min="7" style="0" width="16"/>
    <col collapsed="false" customWidth="true" hidden="false" outlineLevel="0" max="8" min="8" style="0" width="38"/>
    <col collapsed="false" customWidth="true" hidden="false" outlineLevel="0" max="9" min="9" style="0" width="7"/>
    <col collapsed="false" customWidth="true" hidden="false" outlineLevel="0" max="11" min="10" style="0" width="11"/>
    <col collapsed="false" customWidth="true" hidden="false" outlineLevel="0" max="12" min="12" style="0" width="16"/>
    <col collapsed="false" customWidth="true" hidden="false" outlineLevel="0" max="13" min="13" style="0" width="30"/>
    <col collapsed="false" customWidth="true" hidden="false" outlineLevel="0" max="15" min="14" style="0" width="11"/>
    <col collapsed="false" customWidth="true" hidden="false" outlineLevel="0" max="16" min="16" style="0" width="19"/>
    <col collapsed="false" customWidth="true" hidden="false" outlineLevel="0" max="17" min="17" style="0" width="8"/>
    <col collapsed="false" customWidth="true" hidden="true" outlineLevel="0" max="18" min="18" style="0" width="3"/>
  </cols>
  <sheetData>
    <row r="1" customFormat="false" ht="25.5" hidden="false" customHeight="true" outlineLevel="0" collapsed="false">
      <c r="A1" s="7" t="s">
        <v>51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3" customFormat="false" ht="19.5" hidden="false" customHeight="true" outlineLevel="0" collapsed="false">
      <c r="A3" s="8" t="s">
        <v>52</v>
      </c>
      <c r="B3" s="8"/>
      <c r="C3" s="9"/>
      <c r="D3" s="9"/>
      <c r="E3" s="9"/>
      <c r="F3" s="10" t="s">
        <v>53</v>
      </c>
      <c r="G3" s="9"/>
      <c r="H3" s="9"/>
      <c r="I3" s="9"/>
      <c r="J3" s="10" t="s">
        <v>54</v>
      </c>
      <c r="K3" s="10"/>
      <c r="L3" s="11"/>
      <c r="M3" s="11"/>
      <c r="N3" s="11"/>
      <c r="O3" s="11"/>
      <c r="P3" s="11"/>
      <c r="Q3" s="11"/>
    </row>
    <row r="4" customFormat="false" ht="19.5" hidden="false" customHeight="true" outlineLevel="0" collapsed="false">
      <c r="A4" s="12" t="s">
        <v>55</v>
      </c>
      <c r="B4" s="12"/>
      <c r="C4" s="13"/>
      <c r="D4" s="13"/>
      <c r="E4" s="13"/>
      <c r="F4" s="14" t="s">
        <v>56</v>
      </c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</row>
    <row r="6" customFormat="false" ht="30" hidden="false" customHeight="true" outlineLevel="0" collapsed="false">
      <c r="A6" s="16" t="s">
        <v>18</v>
      </c>
      <c r="B6" s="17" t="s">
        <v>57</v>
      </c>
      <c r="C6" s="17" t="s">
        <v>58</v>
      </c>
      <c r="D6" s="17" t="s">
        <v>59</v>
      </c>
      <c r="E6" s="17" t="s">
        <v>60</v>
      </c>
      <c r="F6" s="17" t="s">
        <v>61</v>
      </c>
      <c r="G6" s="17" t="s">
        <v>62</v>
      </c>
      <c r="H6" s="17" t="s">
        <v>63</v>
      </c>
      <c r="I6" s="17" t="s">
        <v>64</v>
      </c>
      <c r="J6" s="17" t="s">
        <v>65</v>
      </c>
      <c r="K6" s="17" t="s">
        <v>20</v>
      </c>
      <c r="L6" s="17" t="s">
        <v>66</v>
      </c>
      <c r="M6" s="17" t="s">
        <v>67</v>
      </c>
      <c r="N6" s="17" t="s">
        <v>68</v>
      </c>
      <c r="O6" s="17" t="s">
        <v>69</v>
      </c>
      <c r="P6" s="17" t="s">
        <v>22</v>
      </c>
      <c r="Q6" s="18" t="s">
        <v>24</v>
      </c>
    </row>
    <row r="7" customFormat="false" ht="15" hidden="false" customHeight="false" outlineLevel="0" collapsed="false">
      <c r="A7" s="19" t="str">
        <f aca="false">IF($H7="","",COUNTA($H$7:$H7))</f>
        <v/>
      </c>
      <c r="B7" s="20"/>
      <c r="C7" s="21"/>
      <c r="D7" s="22"/>
      <c r="E7" s="22"/>
      <c r="F7" s="22"/>
      <c r="G7" s="21"/>
      <c r="H7" s="21"/>
      <c r="I7" s="23"/>
      <c r="J7" s="20"/>
      <c r="K7" s="24" t="str">
        <f aca="false">IF($B7="","",IF($J7&lt;&gt;"",$J7,$B7+IFERROR(VLOOKUP($I7,マスタ!$E$4:$F$6,2,0),7)))</f>
        <v/>
      </c>
      <c r="L7" s="21"/>
      <c r="M7" s="21"/>
      <c r="N7" s="20"/>
      <c r="O7" s="20"/>
      <c r="P7" s="25" t="str">
        <f aca="true">IF($H7="","",IF($O7&lt;&gt;"","確認済み（完了）",IF($N7&lt;&gt;"","是正済み（確認待ち）",IF($K7="","期限が未設定",IF(TODAY()&gt;$K7,"期限超過 "&amp;TEXT(TODAY()-$K7,"0")&amp;"日",IF($K7-TODAY()&lt;=3,"期限まで "&amp;TEXT($K7-TODAY(),"0")&amp;"日","未是正 あと"&amp;TEXT($K7-TODAY(),"0")&amp;"日"))))))</f>
        <v/>
      </c>
      <c r="Q7" s="26" t="str">
        <f aca="true">IF(OR($H7="",$O7&lt;&gt;"",$N7&lt;&gt;"",$K7=""),"",$K7-TODAY())</f>
        <v/>
      </c>
      <c r="R7" s="2" t="str">
        <f aca="false">IF($H7="","",IF(AND($B7=パトロール報告書!$C$3,$C7=パトロール報告書!$C$4),COUNTIFS($B$7:$B7,パトロール報告書!$C$3,$C$7:$C7,パトロール報告書!$C$4),""))</f>
        <v/>
      </c>
    </row>
    <row r="8" customFormat="false" ht="15" hidden="false" customHeight="false" outlineLevel="0" collapsed="false">
      <c r="A8" s="19" t="str">
        <f aca="false">IF($H8="","",COUNTA($H$7:$H8))</f>
        <v/>
      </c>
      <c r="B8" s="20"/>
      <c r="C8" s="21"/>
      <c r="D8" s="22"/>
      <c r="E8" s="22"/>
      <c r="F8" s="22"/>
      <c r="G8" s="21"/>
      <c r="H8" s="21"/>
      <c r="I8" s="23"/>
      <c r="J8" s="20"/>
      <c r="K8" s="24" t="str">
        <f aca="false">IF($B8="","",IF($J8&lt;&gt;"",$J8,$B8+IFERROR(VLOOKUP($I8,マスタ!$E$4:$F$6,2,0),7)))</f>
        <v/>
      </c>
      <c r="L8" s="21"/>
      <c r="M8" s="21"/>
      <c r="N8" s="20"/>
      <c r="O8" s="20"/>
      <c r="P8" s="25" t="str">
        <f aca="true">IF($H8="","",IF($O8&lt;&gt;"","確認済み（完了）",IF($N8&lt;&gt;"","是正済み（確認待ち）",IF($K8="","期限が未設定",IF(TODAY()&gt;$K8,"期限超過 "&amp;TEXT(TODAY()-$K8,"0")&amp;"日",IF($K8-TODAY()&lt;=3,"期限まで "&amp;TEXT($K8-TODAY(),"0")&amp;"日","未是正 あと"&amp;TEXT($K8-TODAY(),"0")&amp;"日"))))))</f>
        <v/>
      </c>
      <c r="Q8" s="26" t="str">
        <f aca="true">IF(OR($H8="",$O8&lt;&gt;"",$N8&lt;&gt;"",$K8=""),"",$K8-TODAY())</f>
        <v/>
      </c>
      <c r="R8" s="2" t="str">
        <f aca="false">IF($H8="","",IF(AND($B8=パトロール報告書!$C$3,$C8=パトロール報告書!$C$4),COUNTIFS($B$7:$B8,パトロール報告書!$C$3,$C$7:$C8,パトロール報告書!$C$4),""))</f>
        <v/>
      </c>
    </row>
    <row r="9" customFormat="false" ht="15" hidden="false" customHeight="false" outlineLevel="0" collapsed="false">
      <c r="A9" s="19" t="str">
        <f aca="false">IF($H9="","",COUNTA($H$7:$H9))</f>
        <v/>
      </c>
      <c r="B9" s="20"/>
      <c r="C9" s="21"/>
      <c r="D9" s="22"/>
      <c r="E9" s="22"/>
      <c r="F9" s="22"/>
      <c r="G9" s="21"/>
      <c r="H9" s="21"/>
      <c r="I9" s="23"/>
      <c r="J9" s="20"/>
      <c r="K9" s="24" t="str">
        <f aca="false">IF($B9="","",IF($J9&lt;&gt;"",$J9,$B9+IFERROR(VLOOKUP($I9,マスタ!$E$4:$F$6,2,0),7)))</f>
        <v/>
      </c>
      <c r="L9" s="21"/>
      <c r="M9" s="21"/>
      <c r="N9" s="20"/>
      <c r="O9" s="20"/>
      <c r="P9" s="25" t="str">
        <f aca="true">IF($H9="","",IF($O9&lt;&gt;"","確認済み（完了）",IF($N9&lt;&gt;"","是正済み（確認待ち）",IF($K9="","期限が未設定",IF(TODAY()&gt;$K9,"期限超過 "&amp;TEXT(TODAY()-$K9,"0")&amp;"日",IF($K9-TODAY()&lt;=3,"期限まで "&amp;TEXT($K9-TODAY(),"0")&amp;"日","未是正 あと"&amp;TEXT($K9-TODAY(),"0")&amp;"日"))))))</f>
        <v/>
      </c>
      <c r="Q9" s="26" t="str">
        <f aca="true">IF(OR($H9="",$O9&lt;&gt;"",$N9&lt;&gt;"",$K9=""),"",$K9-TODAY())</f>
        <v/>
      </c>
      <c r="R9" s="2" t="str">
        <f aca="false">IF($H9="","",IF(AND($B9=パトロール報告書!$C$3,$C9=パトロール報告書!$C$4),COUNTIFS($B$7:$B9,パトロール報告書!$C$3,$C$7:$C9,パトロール報告書!$C$4),""))</f>
        <v/>
      </c>
    </row>
    <row r="10" customFormat="false" ht="15" hidden="false" customHeight="false" outlineLevel="0" collapsed="false">
      <c r="A10" s="19" t="str">
        <f aca="false">IF($H10="","",COUNTA($H$7:$H10))</f>
        <v/>
      </c>
      <c r="B10" s="20"/>
      <c r="C10" s="21"/>
      <c r="D10" s="22"/>
      <c r="E10" s="22"/>
      <c r="F10" s="22"/>
      <c r="G10" s="21"/>
      <c r="H10" s="21"/>
      <c r="I10" s="23"/>
      <c r="J10" s="20"/>
      <c r="K10" s="24" t="str">
        <f aca="false">IF($B10="","",IF($J10&lt;&gt;"",$J10,$B10+IFERROR(VLOOKUP($I10,マスタ!$E$4:$F$6,2,0),7)))</f>
        <v/>
      </c>
      <c r="L10" s="21"/>
      <c r="M10" s="21"/>
      <c r="N10" s="20"/>
      <c r="O10" s="20"/>
      <c r="P10" s="25" t="str">
        <f aca="true">IF($H10="","",IF($O10&lt;&gt;"","確認済み（完了）",IF($N10&lt;&gt;"","是正済み（確認待ち）",IF($K10="","期限が未設定",IF(TODAY()&gt;$K10,"期限超過 "&amp;TEXT(TODAY()-$K10,"0")&amp;"日",IF($K10-TODAY()&lt;=3,"期限まで "&amp;TEXT($K10-TODAY(),"0")&amp;"日","未是正 あと"&amp;TEXT($K10-TODAY(),"0")&amp;"日"))))))</f>
        <v/>
      </c>
      <c r="Q10" s="26" t="str">
        <f aca="true">IF(OR($H10="",$O10&lt;&gt;"",$N10&lt;&gt;"",$K10=""),"",$K10-TODAY())</f>
        <v/>
      </c>
      <c r="R10" s="2" t="str">
        <f aca="false">IF($H10="","",IF(AND($B10=パトロール報告書!$C$3,$C10=パトロール報告書!$C$4),COUNTIFS($B$7:$B10,パトロール報告書!$C$3,$C$7:$C10,パトロール報告書!$C$4),""))</f>
        <v/>
      </c>
    </row>
    <row r="11" customFormat="false" ht="15" hidden="false" customHeight="false" outlineLevel="0" collapsed="false">
      <c r="A11" s="19" t="str">
        <f aca="false">IF($H11="","",COUNTA($H$7:$H11))</f>
        <v/>
      </c>
      <c r="B11" s="20"/>
      <c r="C11" s="21"/>
      <c r="D11" s="22"/>
      <c r="E11" s="22"/>
      <c r="F11" s="22"/>
      <c r="G11" s="21"/>
      <c r="H11" s="21"/>
      <c r="I11" s="23"/>
      <c r="J11" s="20"/>
      <c r="K11" s="24" t="str">
        <f aca="false">IF($B11="","",IF($J11&lt;&gt;"",$J11,$B11+IFERROR(VLOOKUP($I11,マスタ!$E$4:$F$6,2,0),7)))</f>
        <v/>
      </c>
      <c r="L11" s="21"/>
      <c r="M11" s="21"/>
      <c r="N11" s="20"/>
      <c r="O11" s="20"/>
      <c r="P11" s="25" t="str">
        <f aca="true">IF($H11="","",IF($O11&lt;&gt;"","確認済み（完了）",IF($N11&lt;&gt;"","是正済み（確認待ち）",IF($K11="","期限が未設定",IF(TODAY()&gt;$K11,"期限超過 "&amp;TEXT(TODAY()-$K11,"0")&amp;"日",IF($K11-TODAY()&lt;=3,"期限まで "&amp;TEXT($K11-TODAY(),"0")&amp;"日","未是正 あと"&amp;TEXT($K11-TODAY(),"0")&amp;"日"))))))</f>
        <v/>
      </c>
      <c r="Q11" s="26" t="str">
        <f aca="true">IF(OR($H11="",$O11&lt;&gt;"",$N11&lt;&gt;"",$K11=""),"",$K11-TODAY())</f>
        <v/>
      </c>
      <c r="R11" s="2" t="str">
        <f aca="false">IF($H11="","",IF(AND($B11=パトロール報告書!$C$3,$C11=パトロール報告書!$C$4),COUNTIFS($B$7:$B11,パトロール報告書!$C$3,$C$7:$C11,パトロール報告書!$C$4),""))</f>
        <v/>
      </c>
    </row>
    <row r="12" customFormat="false" ht="15" hidden="false" customHeight="false" outlineLevel="0" collapsed="false">
      <c r="A12" s="19" t="str">
        <f aca="false">IF($H12="","",COUNTA($H$7:$H12))</f>
        <v/>
      </c>
      <c r="B12" s="20"/>
      <c r="C12" s="21"/>
      <c r="D12" s="22"/>
      <c r="E12" s="22"/>
      <c r="F12" s="22"/>
      <c r="G12" s="21"/>
      <c r="H12" s="21"/>
      <c r="I12" s="23"/>
      <c r="J12" s="20"/>
      <c r="K12" s="24" t="str">
        <f aca="false">IF($B12="","",IF($J12&lt;&gt;"",$J12,$B12+IFERROR(VLOOKUP($I12,マスタ!$E$4:$F$6,2,0),7)))</f>
        <v/>
      </c>
      <c r="L12" s="21"/>
      <c r="M12" s="21"/>
      <c r="N12" s="20"/>
      <c r="O12" s="20"/>
      <c r="P12" s="25" t="str">
        <f aca="true">IF($H12="","",IF($O12&lt;&gt;"","確認済み（完了）",IF($N12&lt;&gt;"","是正済み（確認待ち）",IF($K12="","期限が未設定",IF(TODAY()&gt;$K12,"期限超過 "&amp;TEXT(TODAY()-$K12,"0")&amp;"日",IF($K12-TODAY()&lt;=3,"期限まで "&amp;TEXT($K12-TODAY(),"0")&amp;"日","未是正 あと"&amp;TEXT($K12-TODAY(),"0")&amp;"日"))))))</f>
        <v/>
      </c>
      <c r="Q12" s="26" t="str">
        <f aca="true">IF(OR($H12="",$O12&lt;&gt;"",$N12&lt;&gt;"",$K12=""),"",$K12-TODAY())</f>
        <v/>
      </c>
      <c r="R12" s="2" t="str">
        <f aca="false">IF($H12="","",IF(AND($B12=パトロール報告書!$C$3,$C12=パトロール報告書!$C$4),COUNTIFS($B$7:$B12,パトロール報告書!$C$3,$C$7:$C12,パトロール報告書!$C$4),""))</f>
        <v/>
      </c>
    </row>
    <row r="13" customFormat="false" ht="15" hidden="false" customHeight="false" outlineLevel="0" collapsed="false">
      <c r="A13" s="19" t="str">
        <f aca="false">IF($H13="","",COUNTA($H$7:$H13))</f>
        <v/>
      </c>
      <c r="B13" s="20"/>
      <c r="C13" s="21"/>
      <c r="D13" s="22"/>
      <c r="E13" s="22"/>
      <c r="F13" s="22"/>
      <c r="G13" s="21"/>
      <c r="H13" s="21"/>
      <c r="I13" s="23"/>
      <c r="J13" s="20"/>
      <c r="K13" s="24" t="str">
        <f aca="false">IF($B13="","",IF($J13&lt;&gt;"",$J13,$B13+IFERROR(VLOOKUP($I13,マスタ!$E$4:$F$6,2,0),7)))</f>
        <v/>
      </c>
      <c r="L13" s="21"/>
      <c r="M13" s="21"/>
      <c r="N13" s="20"/>
      <c r="O13" s="20"/>
      <c r="P13" s="25" t="str">
        <f aca="true">IF($H13="","",IF($O13&lt;&gt;"","確認済み（完了）",IF($N13&lt;&gt;"","是正済み（確認待ち）",IF($K13="","期限が未設定",IF(TODAY()&gt;$K13,"期限超過 "&amp;TEXT(TODAY()-$K13,"0")&amp;"日",IF($K13-TODAY()&lt;=3,"期限まで "&amp;TEXT($K13-TODAY(),"0")&amp;"日","未是正 あと"&amp;TEXT($K13-TODAY(),"0")&amp;"日"))))))</f>
        <v/>
      </c>
      <c r="Q13" s="26" t="str">
        <f aca="true">IF(OR($H13="",$O13&lt;&gt;"",$N13&lt;&gt;"",$K13=""),"",$K13-TODAY())</f>
        <v/>
      </c>
      <c r="R13" s="2" t="str">
        <f aca="false">IF($H13="","",IF(AND($B13=パトロール報告書!$C$3,$C13=パトロール報告書!$C$4),COUNTIFS($B$7:$B13,パトロール報告書!$C$3,$C$7:$C13,パトロール報告書!$C$4),""))</f>
        <v/>
      </c>
    </row>
    <row r="14" customFormat="false" ht="15" hidden="false" customHeight="false" outlineLevel="0" collapsed="false">
      <c r="A14" s="19" t="str">
        <f aca="false">IF($H14="","",COUNTA($H$7:$H14))</f>
        <v/>
      </c>
      <c r="B14" s="20"/>
      <c r="C14" s="21"/>
      <c r="D14" s="22"/>
      <c r="E14" s="22"/>
      <c r="F14" s="22"/>
      <c r="G14" s="21"/>
      <c r="H14" s="21"/>
      <c r="I14" s="23"/>
      <c r="J14" s="20"/>
      <c r="K14" s="24" t="str">
        <f aca="false">IF($B14="","",IF($J14&lt;&gt;"",$J14,$B14+IFERROR(VLOOKUP($I14,マスタ!$E$4:$F$6,2,0),7)))</f>
        <v/>
      </c>
      <c r="L14" s="21"/>
      <c r="M14" s="21"/>
      <c r="N14" s="20"/>
      <c r="O14" s="20"/>
      <c r="P14" s="25" t="str">
        <f aca="true">IF($H14="","",IF($O14&lt;&gt;"","確認済み（完了）",IF($N14&lt;&gt;"","是正済み（確認待ち）",IF($K14="","期限が未設定",IF(TODAY()&gt;$K14,"期限超過 "&amp;TEXT(TODAY()-$K14,"0")&amp;"日",IF($K14-TODAY()&lt;=3,"期限まで "&amp;TEXT($K14-TODAY(),"0")&amp;"日","未是正 あと"&amp;TEXT($K14-TODAY(),"0")&amp;"日"))))))</f>
        <v/>
      </c>
      <c r="Q14" s="26" t="str">
        <f aca="true">IF(OR($H14="",$O14&lt;&gt;"",$N14&lt;&gt;"",$K14=""),"",$K14-TODAY())</f>
        <v/>
      </c>
      <c r="R14" s="2" t="str">
        <f aca="false">IF($H14="","",IF(AND($B14=パトロール報告書!$C$3,$C14=パトロール報告書!$C$4),COUNTIFS($B$7:$B14,パトロール報告書!$C$3,$C$7:$C14,パトロール報告書!$C$4),""))</f>
        <v/>
      </c>
    </row>
    <row r="15" customFormat="false" ht="15" hidden="false" customHeight="false" outlineLevel="0" collapsed="false">
      <c r="A15" s="19" t="str">
        <f aca="false">IF($H15="","",COUNTA($H$7:$H15))</f>
        <v/>
      </c>
      <c r="B15" s="20"/>
      <c r="C15" s="21"/>
      <c r="D15" s="22"/>
      <c r="E15" s="22"/>
      <c r="F15" s="22"/>
      <c r="G15" s="21"/>
      <c r="H15" s="21"/>
      <c r="I15" s="23"/>
      <c r="J15" s="20"/>
      <c r="K15" s="24" t="str">
        <f aca="false">IF($B15="","",IF($J15&lt;&gt;"",$J15,$B15+IFERROR(VLOOKUP($I15,マスタ!$E$4:$F$6,2,0),7)))</f>
        <v/>
      </c>
      <c r="L15" s="21"/>
      <c r="M15" s="21"/>
      <c r="N15" s="20"/>
      <c r="O15" s="20"/>
      <c r="P15" s="25" t="str">
        <f aca="true">IF($H15="","",IF($O15&lt;&gt;"","確認済み（完了）",IF($N15&lt;&gt;"","是正済み（確認待ち）",IF($K15="","期限が未設定",IF(TODAY()&gt;$K15,"期限超過 "&amp;TEXT(TODAY()-$K15,"0")&amp;"日",IF($K15-TODAY()&lt;=3,"期限まで "&amp;TEXT($K15-TODAY(),"0")&amp;"日","未是正 あと"&amp;TEXT($K15-TODAY(),"0")&amp;"日"))))))</f>
        <v/>
      </c>
      <c r="Q15" s="26" t="str">
        <f aca="true">IF(OR($H15="",$O15&lt;&gt;"",$N15&lt;&gt;"",$K15=""),"",$K15-TODAY())</f>
        <v/>
      </c>
      <c r="R15" s="2" t="str">
        <f aca="false">IF($H15="","",IF(AND($B15=パトロール報告書!$C$3,$C15=パトロール報告書!$C$4),COUNTIFS($B$7:$B15,パトロール報告書!$C$3,$C$7:$C15,パトロール報告書!$C$4),""))</f>
        <v/>
      </c>
    </row>
    <row r="16" customFormat="false" ht="15" hidden="false" customHeight="false" outlineLevel="0" collapsed="false">
      <c r="A16" s="19" t="str">
        <f aca="false">IF($H16="","",COUNTA($H$7:$H16))</f>
        <v/>
      </c>
      <c r="B16" s="20"/>
      <c r="C16" s="21"/>
      <c r="D16" s="22"/>
      <c r="E16" s="22"/>
      <c r="F16" s="22"/>
      <c r="G16" s="21"/>
      <c r="H16" s="21"/>
      <c r="I16" s="23"/>
      <c r="J16" s="20"/>
      <c r="K16" s="24" t="str">
        <f aca="false">IF($B16="","",IF($J16&lt;&gt;"",$J16,$B16+IFERROR(VLOOKUP($I16,マスタ!$E$4:$F$6,2,0),7)))</f>
        <v/>
      </c>
      <c r="L16" s="21"/>
      <c r="M16" s="21"/>
      <c r="N16" s="20"/>
      <c r="O16" s="20"/>
      <c r="P16" s="25" t="str">
        <f aca="true">IF($H16="","",IF($O16&lt;&gt;"","確認済み（完了）",IF($N16&lt;&gt;"","是正済み（確認待ち）",IF($K16="","期限が未設定",IF(TODAY()&gt;$K16,"期限超過 "&amp;TEXT(TODAY()-$K16,"0")&amp;"日",IF($K16-TODAY()&lt;=3,"期限まで "&amp;TEXT($K16-TODAY(),"0")&amp;"日","未是正 あと"&amp;TEXT($K16-TODAY(),"0")&amp;"日"))))))</f>
        <v/>
      </c>
      <c r="Q16" s="26" t="str">
        <f aca="true">IF(OR($H16="",$O16&lt;&gt;"",$N16&lt;&gt;"",$K16=""),"",$K16-TODAY())</f>
        <v/>
      </c>
      <c r="R16" s="2" t="str">
        <f aca="false">IF($H16="","",IF(AND($B16=パトロール報告書!$C$3,$C16=パトロール報告書!$C$4),COUNTIFS($B$7:$B16,パトロール報告書!$C$3,$C$7:$C16,パトロール報告書!$C$4),""))</f>
        <v/>
      </c>
    </row>
    <row r="17" customFormat="false" ht="15" hidden="false" customHeight="false" outlineLevel="0" collapsed="false">
      <c r="A17" s="19" t="str">
        <f aca="false">IF($H17="","",COUNTA($H$7:$H17))</f>
        <v/>
      </c>
      <c r="B17" s="20"/>
      <c r="C17" s="21"/>
      <c r="D17" s="22"/>
      <c r="E17" s="22"/>
      <c r="F17" s="22"/>
      <c r="G17" s="21"/>
      <c r="H17" s="21"/>
      <c r="I17" s="23"/>
      <c r="J17" s="20"/>
      <c r="K17" s="24" t="str">
        <f aca="false">IF($B17="","",IF($J17&lt;&gt;"",$J17,$B17+IFERROR(VLOOKUP($I17,マスタ!$E$4:$F$6,2,0),7)))</f>
        <v/>
      </c>
      <c r="L17" s="21"/>
      <c r="M17" s="21"/>
      <c r="N17" s="20"/>
      <c r="O17" s="20"/>
      <c r="P17" s="25" t="str">
        <f aca="true">IF($H17="","",IF($O17&lt;&gt;"","確認済み（完了）",IF($N17&lt;&gt;"","是正済み（確認待ち）",IF($K17="","期限が未設定",IF(TODAY()&gt;$K17,"期限超過 "&amp;TEXT(TODAY()-$K17,"0")&amp;"日",IF($K17-TODAY()&lt;=3,"期限まで "&amp;TEXT($K17-TODAY(),"0")&amp;"日","未是正 あと"&amp;TEXT($K17-TODAY(),"0")&amp;"日"))))))</f>
        <v/>
      </c>
      <c r="Q17" s="26" t="str">
        <f aca="true">IF(OR($H17="",$O17&lt;&gt;"",$N17&lt;&gt;"",$K17=""),"",$K17-TODAY())</f>
        <v/>
      </c>
      <c r="R17" s="2" t="str">
        <f aca="false">IF($H17="","",IF(AND($B17=パトロール報告書!$C$3,$C17=パトロール報告書!$C$4),COUNTIFS($B$7:$B17,パトロール報告書!$C$3,$C$7:$C17,パトロール報告書!$C$4),""))</f>
        <v/>
      </c>
    </row>
    <row r="18" customFormat="false" ht="15" hidden="false" customHeight="false" outlineLevel="0" collapsed="false">
      <c r="A18" s="19" t="str">
        <f aca="false">IF($H18="","",COUNTA($H$7:$H18))</f>
        <v/>
      </c>
      <c r="B18" s="20"/>
      <c r="C18" s="21"/>
      <c r="D18" s="22"/>
      <c r="E18" s="22"/>
      <c r="F18" s="22"/>
      <c r="G18" s="21"/>
      <c r="H18" s="21"/>
      <c r="I18" s="23"/>
      <c r="J18" s="20"/>
      <c r="K18" s="24" t="str">
        <f aca="false">IF($B18="","",IF($J18&lt;&gt;"",$J18,$B18+IFERROR(VLOOKUP($I18,マスタ!$E$4:$F$6,2,0),7)))</f>
        <v/>
      </c>
      <c r="L18" s="21"/>
      <c r="M18" s="21"/>
      <c r="N18" s="20"/>
      <c r="O18" s="20"/>
      <c r="P18" s="25" t="str">
        <f aca="true">IF($H18="","",IF($O18&lt;&gt;"","確認済み（完了）",IF($N18&lt;&gt;"","是正済み（確認待ち）",IF($K18="","期限が未設定",IF(TODAY()&gt;$K18,"期限超過 "&amp;TEXT(TODAY()-$K18,"0")&amp;"日",IF($K18-TODAY()&lt;=3,"期限まで "&amp;TEXT($K18-TODAY(),"0")&amp;"日","未是正 あと"&amp;TEXT($K18-TODAY(),"0")&amp;"日"))))))</f>
        <v/>
      </c>
      <c r="Q18" s="26" t="str">
        <f aca="true">IF(OR($H18="",$O18&lt;&gt;"",$N18&lt;&gt;"",$K18=""),"",$K18-TODAY())</f>
        <v/>
      </c>
      <c r="R18" s="2" t="str">
        <f aca="false">IF($H18="","",IF(AND($B18=パトロール報告書!$C$3,$C18=パトロール報告書!$C$4),COUNTIFS($B$7:$B18,パトロール報告書!$C$3,$C$7:$C18,パトロール報告書!$C$4),""))</f>
        <v/>
      </c>
    </row>
    <row r="19" customFormat="false" ht="15" hidden="false" customHeight="false" outlineLevel="0" collapsed="false">
      <c r="A19" s="19" t="str">
        <f aca="false">IF($H19="","",COUNTA($H$7:$H19))</f>
        <v/>
      </c>
      <c r="B19" s="20"/>
      <c r="C19" s="21"/>
      <c r="D19" s="22"/>
      <c r="E19" s="22"/>
      <c r="F19" s="22"/>
      <c r="G19" s="21"/>
      <c r="H19" s="21"/>
      <c r="I19" s="23"/>
      <c r="J19" s="20"/>
      <c r="K19" s="24" t="str">
        <f aca="false">IF($B19="","",IF($J19&lt;&gt;"",$J19,$B19+IFERROR(VLOOKUP($I19,マスタ!$E$4:$F$6,2,0),7)))</f>
        <v/>
      </c>
      <c r="L19" s="21"/>
      <c r="M19" s="21"/>
      <c r="N19" s="20"/>
      <c r="O19" s="20"/>
      <c r="P19" s="25" t="str">
        <f aca="true">IF($H19="","",IF($O19&lt;&gt;"","確認済み（完了）",IF($N19&lt;&gt;"","是正済み（確認待ち）",IF($K19="","期限が未設定",IF(TODAY()&gt;$K19,"期限超過 "&amp;TEXT(TODAY()-$K19,"0")&amp;"日",IF($K19-TODAY()&lt;=3,"期限まで "&amp;TEXT($K19-TODAY(),"0")&amp;"日","未是正 あと"&amp;TEXT($K19-TODAY(),"0")&amp;"日"))))))</f>
        <v/>
      </c>
      <c r="Q19" s="26" t="str">
        <f aca="true">IF(OR($H19="",$O19&lt;&gt;"",$N19&lt;&gt;"",$K19=""),"",$K19-TODAY())</f>
        <v/>
      </c>
      <c r="R19" s="2" t="str">
        <f aca="false">IF($H19="","",IF(AND($B19=パトロール報告書!$C$3,$C19=パトロール報告書!$C$4),COUNTIFS($B$7:$B19,パトロール報告書!$C$3,$C$7:$C19,パトロール報告書!$C$4),""))</f>
        <v/>
      </c>
    </row>
    <row r="20" customFormat="false" ht="15" hidden="false" customHeight="false" outlineLevel="0" collapsed="false">
      <c r="A20" s="19" t="str">
        <f aca="false">IF($H20="","",COUNTA($H$7:$H20))</f>
        <v/>
      </c>
      <c r="B20" s="20"/>
      <c r="C20" s="21"/>
      <c r="D20" s="22"/>
      <c r="E20" s="22"/>
      <c r="F20" s="22"/>
      <c r="G20" s="21"/>
      <c r="H20" s="21"/>
      <c r="I20" s="23"/>
      <c r="J20" s="20"/>
      <c r="K20" s="24" t="str">
        <f aca="false">IF($B20="","",IF($J20&lt;&gt;"",$J20,$B20+IFERROR(VLOOKUP($I20,マスタ!$E$4:$F$6,2,0),7)))</f>
        <v/>
      </c>
      <c r="L20" s="21"/>
      <c r="M20" s="21"/>
      <c r="N20" s="20"/>
      <c r="O20" s="20"/>
      <c r="P20" s="25" t="str">
        <f aca="true">IF($H20="","",IF($O20&lt;&gt;"","確認済み（完了）",IF($N20&lt;&gt;"","是正済み（確認待ち）",IF($K20="","期限が未設定",IF(TODAY()&gt;$K20,"期限超過 "&amp;TEXT(TODAY()-$K20,"0")&amp;"日",IF($K20-TODAY()&lt;=3,"期限まで "&amp;TEXT($K20-TODAY(),"0")&amp;"日","未是正 あと"&amp;TEXT($K20-TODAY(),"0")&amp;"日"))))))</f>
        <v/>
      </c>
      <c r="Q20" s="26" t="str">
        <f aca="true">IF(OR($H20="",$O20&lt;&gt;"",$N20&lt;&gt;"",$K20=""),"",$K20-TODAY())</f>
        <v/>
      </c>
      <c r="R20" s="2" t="str">
        <f aca="false">IF($H20="","",IF(AND($B20=パトロール報告書!$C$3,$C20=パトロール報告書!$C$4),COUNTIFS($B$7:$B20,パトロール報告書!$C$3,$C$7:$C20,パトロール報告書!$C$4),""))</f>
        <v/>
      </c>
    </row>
    <row r="21" customFormat="false" ht="15" hidden="false" customHeight="false" outlineLevel="0" collapsed="false">
      <c r="A21" s="19" t="str">
        <f aca="false">IF($H21="","",COUNTA($H$7:$H21))</f>
        <v/>
      </c>
      <c r="B21" s="20"/>
      <c r="C21" s="21"/>
      <c r="D21" s="22"/>
      <c r="E21" s="22"/>
      <c r="F21" s="22"/>
      <c r="G21" s="21"/>
      <c r="H21" s="21"/>
      <c r="I21" s="23"/>
      <c r="J21" s="20"/>
      <c r="K21" s="24" t="str">
        <f aca="false">IF($B21="","",IF($J21&lt;&gt;"",$J21,$B21+IFERROR(VLOOKUP($I21,マスタ!$E$4:$F$6,2,0),7)))</f>
        <v/>
      </c>
      <c r="L21" s="21"/>
      <c r="M21" s="21"/>
      <c r="N21" s="20"/>
      <c r="O21" s="20"/>
      <c r="P21" s="25" t="str">
        <f aca="true">IF($H21="","",IF($O21&lt;&gt;"","確認済み（完了）",IF($N21&lt;&gt;"","是正済み（確認待ち）",IF($K21="","期限が未設定",IF(TODAY()&gt;$K21,"期限超過 "&amp;TEXT(TODAY()-$K21,"0")&amp;"日",IF($K21-TODAY()&lt;=3,"期限まで "&amp;TEXT($K21-TODAY(),"0")&amp;"日","未是正 あと"&amp;TEXT($K21-TODAY(),"0")&amp;"日"))))))</f>
        <v/>
      </c>
      <c r="Q21" s="26" t="str">
        <f aca="true">IF(OR($H21="",$O21&lt;&gt;"",$N21&lt;&gt;"",$K21=""),"",$K21-TODAY())</f>
        <v/>
      </c>
      <c r="R21" s="2" t="str">
        <f aca="false">IF($H21="","",IF(AND($B21=パトロール報告書!$C$3,$C21=パトロール報告書!$C$4),COUNTIFS($B$7:$B21,パトロール報告書!$C$3,$C$7:$C21,パトロール報告書!$C$4),""))</f>
        <v/>
      </c>
    </row>
    <row r="22" customFormat="false" ht="15" hidden="false" customHeight="false" outlineLevel="0" collapsed="false">
      <c r="A22" s="19" t="str">
        <f aca="false">IF($H22="","",COUNTA($H$7:$H22))</f>
        <v/>
      </c>
      <c r="B22" s="20"/>
      <c r="C22" s="21"/>
      <c r="D22" s="22"/>
      <c r="E22" s="22"/>
      <c r="F22" s="22"/>
      <c r="G22" s="21"/>
      <c r="H22" s="21"/>
      <c r="I22" s="23"/>
      <c r="J22" s="20"/>
      <c r="K22" s="24" t="str">
        <f aca="false">IF($B22="","",IF($J22&lt;&gt;"",$J22,$B22+IFERROR(VLOOKUP($I22,マスタ!$E$4:$F$6,2,0),7)))</f>
        <v/>
      </c>
      <c r="L22" s="21"/>
      <c r="M22" s="21"/>
      <c r="N22" s="20"/>
      <c r="O22" s="20"/>
      <c r="P22" s="25" t="str">
        <f aca="true">IF($H22="","",IF($O22&lt;&gt;"","確認済み（完了）",IF($N22&lt;&gt;"","是正済み（確認待ち）",IF($K22="","期限が未設定",IF(TODAY()&gt;$K22,"期限超過 "&amp;TEXT(TODAY()-$K22,"0")&amp;"日",IF($K22-TODAY()&lt;=3,"期限まで "&amp;TEXT($K22-TODAY(),"0")&amp;"日","未是正 あと"&amp;TEXT($K22-TODAY(),"0")&amp;"日"))))))</f>
        <v/>
      </c>
      <c r="Q22" s="26" t="str">
        <f aca="true">IF(OR($H22="",$O22&lt;&gt;"",$N22&lt;&gt;"",$K22=""),"",$K22-TODAY())</f>
        <v/>
      </c>
      <c r="R22" s="2" t="str">
        <f aca="false">IF($H22="","",IF(AND($B22=パトロール報告書!$C$3,$C22=パトロール報告書!$C$4),COUNTIFS($B$7:$B22,パトロール報告書!$C$3,$C$7:$C22,パトロール報告書!$C$4),""))</f>
        <v/>
      </c>
    </row>
    <row r="23" customFormat="false" ht="15" hidden="false" customHeight="false" outlineLevel="0" collapsed="false">
      <c r="A23" s="19" t="str">
        <f aca="false">IF($H23="","",COUNTA($H$7:$H23))</f>
        <v/>
      </c>
      <c r="B23" s="20"/>
      <c r="C23" s="21"/>
      <c r="D23" s="22"/>
      <c r="E23" s="22"/>
      <c r="F23" s="22"/>
      <c r="G23" s="21"/>
      <c r="H23" s="21"/>
      <c r="I23" s="23"/>
      <c r="J23" s="20"/>
      <c r="K23" s="24" t="str">
        <f aca="false">IF($B23="","",IF($J23&lt;&gt;"",$J23,$B23+IFERROR(VLOOKUP($I23,マスタ!$E$4:$F$6,2,0),7)))</f>
        <v/>
      </c>
      <c r="L23" s="21"/>
      <c r="M23" s="21"/>
      <c r="N23" s="20"/>
      <c r="O23" s="20"/>
      <c r="P23" s="25" t="str">
        <f aca="true">IF($H23="","",IF($O23&lt;&gt;"","確認済み（完了）",IF($N23&lt;&gt;"","是正済み（確認待ち）",IF($K23="","期限が未設定",IF(TODAY()&gt;$K23,"期限超過 "&amp;TEXT(TODAY()-$K23,"0")&amp;"日",IF($K23-TODAY()&lt;=3,"期限まで "&amp;TEXT($K23-TODAY(),"0")&amp;"日","未是正 あと"&amp;TEXT($K23-TODAY(),"0")&amp;"日"))))))</f>
        <v/>
      </c>
      <c r="Q23" s="26" t="str">
        <f aca="true">IF(OR($H23="",$O23&lt;&gt;"",$N23&lt;&gt;"",$K23=""),"",$K23-TODAY())</f>
        <v/>
      </c>
      <c r="R23" s="2" t="str">
        <f aca="false">IF($H23="","",IF(AND($B23=パトロール報告書!$C$3,$C23=パトロール報告書!$C$4),COUNTIFS($B$7:$B23,パトロール報告書!$C$3,$C$7:$C23,パトロール報告書!$C$4),""))</f>
        <v/>
      </c>
    </row>
    <row r="24" customFormat="false" ht="15" hidden="false" customHeight="false" outlineLevel="0" collapsed="false">
      <c r="A24" s="19" t="str">
        <f aca="false">IF($H24="","",COUNTA($H$7:$H24))</f>
        <v/>
      </c>
      <c r="B24" s="20"/>
      <c r="C24" s="21"/>
      <c r="D24" s="22"/>
      <c r="E24" s="22"/>
      <c r="F24" s="22"/>
      <c r="G24" s="21"/>
      <c r="H24" s="21"/>
      <c r="I24" s="23"/>
      <c r="J24" s="20"/>
      <c r="K24" s="24" t="str">
        <f aca="false">IF($B24="","",IF($J24&lt;&gt;"",$J24,$B24+IFERROR(VLOOKUP($I24,マスタ!$E$4:$F$6,2,0),7)))</f>
        <v/>
      </c>
      <c r="L24" s="21"/>
      <c r="M24" s="21"/>
      <c r="N24" s="20"/>
      <c r="O24" s="20"/>
      <c r="P24" s="25" t="str">
        <f aca="true">IF($H24="","",IF($O24&lt;&gt;"","確認済み（完了）",IF($N24&lt;&gt;"","是正済み（確認待ち）",IF($K24="","期限が未設定",IF(TODAY()&gt;$K24,"期限超過 "&amp;TEXT(TODAY()-$K24,"0")&amp;"日",IF($K24-TODAY()&lt;=3,"期限まで "&amp;TEXT($K24-TODAY(),"0")&amp;"日","未是正 あと"&amp;TEXT($K24-TODAY(),"0")&amp;"日"))))))</f>
        <v/>
      </c>
      <c r="Q24" s="26" t="str">
        <f aca="true">IF(OR($H24="",$O24&lt;&gt;"",$N24&lt;&gt;"",$K24=""),"",$K24-TODAY())</f>
        <v/>
      </c>
      <c r="R24" s="2" t="str">
        <f aca="false">IF($H24="","",IF(AND($B24=パトロール報告書!$C$3,$C24=パトロール報告書!$C$4),COUNTIFS($B$7:$B24,パトロール報告書!$C$3,$C$7:$C24,パトロール報告書!$C$4),""))</f>
        <v/>
      </c>
    </row>
    <row r="25" customFormat="false" ht="15" hidden="false" customHeight="false" outlineLevel="0" collapsed="false">
      <c r="A25" s="19" t="str">
        <f aca="false">IF($H25="","",COUNTA($H$7:$H25))</f>
        <v/>
      </c>
      <c r="B25" s="20"/>
      <c r="C25" s="21"/>
      <c r="D25" s="22"/>
      <c r="E25" s="22"/>
      <c r="F25" s="22"/>
      <c r="G25" s="21"/>
      <c r="H25" s="21"/>
      <c r="I25" s="23"/>
      <c r="J25" s="20"/>
      <c r="K25" s="24" t="str">
        <f aca="false">IF($B25="","",IF($J25&lt;&gt;"",$J25,$B25+IFERROR(VLOOKUP($I25,マスタ!$E$4:$F$6,2,0),7)))</f>
        <v/>
      </c>
      <c r="L25" s="21"/>
      <c r="M25" s="21"/>
      <c r="N25" s="20"/>
      <c r="O25" s="20"/>
      <c r="P25" s="25" t="str">
        <f aca="true">IF($H25="","",IF($O25&lt;&gt;"","確認済み（完了）",IF($N25&lt;&gt;"","是正済み（確認待ち）",IF($K25="","期限が未設定",IF(TODAY()&gt;$K25,"期限超過 "&amp;TEXT(TODAY()-$K25,"0")&amp;"日",IF($K25-TODAY()&lt;=3,"期限まで "&amp;TEXT($K25-TODAY(),"0")&amp;"日","未是正 あと"&amp;TEXT($K25-TODAY(),"0")&amp;"日"))))))</f>
        <v/>
      </c>
      <c r="Q25" s="26" t="str">
        <f aca="true">IF(OR($H25="",$O25&lt;&gt;"",$N25&lt;&gt;"",$K25=""),"",$K25-TODAY())</f>
        <v/>
      </c>
      <c r="R25" s="2" t="str">
        <f aca="false">IF($H25="","",IF(AND($B25=パトロール報告書!$C$3,$C25=パトロール報告書!$C$4),COUNTIFS($B$7:$B25,パトロール報告書!$C$3,$C$7:$C25,パトロール報告書!$C$4),""))</f>
        <v/>
      </c>
    </row>
    <row r="26" customFormat="false" ht="15" hidden="false" customHeight="false" outlineLevel="0" collapsed="false">
      <c r="A26" s="19" t="str">
        <f aca="false">IF($H26="","",COUNTA($H$7:$H26))</f>
        <v/>
      </c>
      <c r="B26" s="20"/>
      <c r="C26" s="21"/>
      <c r="D26" s="22"/>
      <c r="E26" s="22"/>
      <c r="F26" s="22"/>
      <c r="G26" s="21"/>
      <c r="H26" s="21"/>
      <c r="I26" s="23"/>
      <c r="J26" s="20"/>
      <c r="K26" s="24" t="str">
        <f aca="false">IF($B26="","",IF($J26&lt;&gt;"",$J26,$B26+IFERROR(VLOOKUP($I26,マスタ!$E$4:$F$6,2,0),7)))</f>
        <v/>
      </c>
      <c r="L26" s="21"/>
      <c r="M26" s="21"/>
      <c r="N26" s="20"/>
      <c r="O26" s="20"/>
      <c r="P26" s="25" t="str">
        <f aca="true">IF($H26="","",IF($O26&lt;&gt;"","確認済み（完了）",IF($N26&lt;&gt;"","是正済み（確認待ち）",IF($K26="","期限が未設定",IF(TODAY()&gt;$K26,"期限超過 "&amp;TEXT(TODAY()-$K26,"0")&amp;"日",IF($K26-TODAY()&lt;=3,"期限まで "&amp;TEXT($K26-TODAY(),"0")&amp;"日","未是正 あと"&amp;TEXT($K26-TODAY(),"0")&amp;"日"))))))</f>
        <v/>
      </c>
      <c r="Q26" s="26" t="str">
        <f aca="true">IF(OR($H26="",$O26&lt;&gt;"",$N26&lt;&gt;"",$K26=""),"",$K26-TODAY())</f>
        <v/>
      </c>
      <c r="R26" s="2" t="str">
        <f aca="false">IF($H26="","",IF(AND($B26=パトロール報告書!$C$3,$C26=パトロール報告書!$C$4),COUNTIFS($B$7:$B26,パトロール報告書!$C$3,$C$7:$C26,パトロール報告書!$C$4),""))</f>
        <v/>
      </c>
    </row>
    <row r="27" customFormat="false" ht="15" hidden="false" customHeight="false" outlineLevel="0" collapsed="false">
      <c r="A27" s="19" t="str">
        <f aca="false">IF($H27="","",COUNTA($H$7:$H27))</f>
        <v/>
      </c>
      <c r="B27" s="20"/>
      <c r="C27" s="21"/>
      <c r="D27" s="22"/>
      <c r="E27" s="22"/>
      <c r="F27" s="22"/>
      <c r="G27" s="21"/>
      <c r="H27" s="21"/>
      <c r="I27" s="23"/>
      <c r="J27" s="20"/>
      <c r="K27" s="24" t="str">
        <f aca="false">IF($B27="","",IF($J27&lt;&gt;"",$J27,$B27+IFERROR(VLOOKUP($I27,マスタ!$E$4:$F$6,2,0),7)))</f>
        <v/>
      </c>
      <c r="L27" s="21"/>
      <c r="M27" s="21"/>
      <c r="N27" s="20"/>
      <c r="O27" s="20"/>
      <c r="P27" s="25" t="str">
        <f aca="true">IF($H27="","",IF($O27&lt;&gt;"","確認済み（完了）",IF($N27&lt;&gt;"","是正済み（確認待ち）",IF($K27="","期限が未設定",IF(TODAY()&gt;$K27,"期限超過 "&amp;TEXT(TODAY()-$K27,"0")&amp;"日",IF($K27-TODAY()&lt;=3,"期限まで "&amp;TEXT($K27-TODAY(),"0")&amp;"日","未是正 あと"&amp;TEXT($K27-TODAY(),"0")&amp;"日"))))))</f>
        <v/>
      </c>
      <c r="Q27" s="26" t="str">
        <f aca="true">IF(OR($H27="",$O27&lt;&gt;"",$N27&lt;&gt;"",$K27=""),"",$K27-TODAY())</f>
        <v/>
      </c>
      <c r="R27" s="2" t="str">
        <f aca="false">IF($H27="","",IF(AND($B27=パトロール報告書!$C$3,$C27=パトロール報告書!$C$4),COUNTIFS($B$7:$B27,パトロール報告書!$C$3,$C$7:$C27,パトロール報告書!$C$4),""))</f>
        <v/>
      </c>
    </row>
    <row r="28" customFormat="false" ht="15" hidden="false" customHeight="false" outlineLevel="0" collapsed="false">
      <c r="A28" s="19" t="str">
        <f aca="false">IF($H28="","",COUNTA($H$7:$H28))</f>
        <v/>
      </c>
      <c r="B28" s="20"/>
      <c r="C28" s="21"/>
      <c r="D28" s="22"/>
      <c r="E28" s="22"/>
      <c r="F28" s="22"/>
      <c r="G28" s="21"/>
      <c r="H28" s="21"/>
      <c r="I28" s="23"/>
      <c r="J28" s="20"/>
      <c r="K28" s="24" t="str">
        <f aca="false">IF($B28="","",IF($J28&lt;&gt;"",$J28,$B28+IFERROR(VLOOKUP($I28,マスタ!$E$4:$F$6,2,0),7)))</f>
        <v/>
      </c>
      <c r="L28" s="21"/>
      <c r="M28" s="21"/>
      <c r="N28" s="20"/>
      <c r="O28" s="20"/>
      <c r="P28" s="25" t="str">
        <f aca="true">IF($H28="","",IF($O28&lt;&gt;"","確認済み（完了）",IF($N28&lt;&gt;"","是正済み（確認待ち）",IF($K28="","期限が未設定",IF(TODAY()&gt;$K28,"期限超過 "&amp;TEXT(TODAY()-$K28,"0")&amp;"日",IF($K28-TODAY()&lt;=3,"期限まで "&amp;TEXT($K28-TODAY(),"0")&amp;"日","未是正 あと"&amp;TEXT($K28-TODAY(),"0")&amp;"日"))))))</f>
        <v/>
      </c>
      <c r="Q28" s="26" t="str">
        <f aca="true">IF(OR($H28="",$O28&lt;&gt;"",$N28&lt;&gt;"",$K28=""),"",$K28-TODAY())</f>
        <v/>
      </c>
      <c r="R28" s="2" t="str">
        <f aca="false">IF($H28="","",IF(AND($B28=パトロール報告書!$C$3,$C28=パトロール報告書!$C$4),COUNTIFS($B$7:$B28,パトロール報告書!$C$3,$C$7:$C28,パトロール報告書!$C$4),""))</f>
        <v/>
      </c>
    </row>
    <row r="29" customFormat="false" ht="15" hidden="false" customHeight="false" outlineLevel="0" collapsed="false">
      <c r="A29" s="19" t="str">
        <f aca="false">IF($H29="","",COUNTA($H$7:$H29))</f>
        <v/>
      </c>
      <c r="B29" s="20"/>
      <c r="C29" s="21"/>
      <c r="D29" s="22"/>
      <c r="E29" s="22"/>
      <c r="F29" s="22"/>
      <c r="G29" s="21"/>
      <c r="H29" s="21"/>
      <c r="I29" s="23"/>
      <c r="J29" s="20"/>
      <c r="K29" s="24" t="str">
        <f aca="false">IF($B29="","",IF($J29&lt;&gt;"",$J29,$B29+IFERROR(VLOOKUP($I29,マスタ!$E$4:$F$6,2,0),7)))</f>
        <v/>
      </c>
      <c r="L29" s="21"/>
      <c r="M29" s="21"/>
      <c r="N29" s="20"/>
      <c r="O29" s="20"/>
      <c r="P29" s="25" t="str">
        <f aca="true">IF($H29="","",IF($O29&lt;&gt;"","確認済み（完了）",IF($N29&lt;&gt;"","是正済み（確認待ち）",IF($K29="","期限が未設定",IF(TODAY()&gt;$K29,"期限超過 "&amp;TEXT(TODAY()-$K29,"0")&amp;"日",IF($K29-TODAY()&lt;=3,"期限まで "&amp;TEXT($K29-TODAY(),"0")&amp;"日","未是正 あと"&amp;TEXT($K29-TODAY(),"0")&amp;"日"))))))</f>
        <v/>
      </c>
      <c r="Q29" s="26" t="str">
        <f aca="true">IF(OR($H29="",$O29&lt;&gt;"",$N29&lt;&gt;"",$K29=""),"",$K29-TODAY())</f>
        <v/>
      </c>
      <c r="R29" s="2" t="str">
        <f aca="false">IF($H29="","",IF(AND($B29=パトロール報告書!$C$3,$C29=パトロール報告書!$C$4),COUNTIFS($B$7:$B29,パトロール報告書!$C$3,$C$7:$C29,パトロール報告書!$C$4),""))</f>
        <v/>
      </c>
    </row>
    <row r="30" customFormat="false" ht="15" hidden="false" customHeight="false" outlineLevel="0" collapsed="false">
      <c r="A30" s="19" t="str">
        <f aca="false">IF($H30="","",COUNTA($H$7:$H30))</f>
        <v/>
      </c>
      <c r="B30" s="20"/>
      <c r="C30" s="21"/>
      <c r="D30" s="22"/>
      <c r="E30" s="22"/>
      <c r="F30" s="22"/>
      <c r="G30" s="21"/>
      <c r="H30" s="21"/>
      <c r="I30" s="23"/>
      <c r="J30" s="20"/>
      <c r="K30" s="24" t="str">
        <f aca="false">IF($B30="","",IF($J30&lt;&gt;"",$J30,$B30+IFERROR(VLOOKUP($I30,マスタ!$E$4:$F$6,2,0),7)))</f>
        <v/>
      </c>
      <c r="L30" s="21"/>
      <c r="M30" s="21"/>
      <c r="N30" s="20"/>
      <c r="O30" s="20"/>
      <c r="P30" s="25" t="str">
        <f aca="true">IF($H30="","",IF($O30&lt;&gt;"","確認済み（完了）",IF($N30&lt;&gt;"","是正済み（確認待ち）",IF($K30="","期限が未設定",IF(TODAY()&gt;$K30,"期限超過 "&amp;TEXT(TODAY()-$K30,"0")&amp;"日",IF($K30-TODAY()&lt;=3,"期限まで "&amp;TEXT($K30-TODAY(),"0")&amp;"日","未是正 あと"&amp;TEXT($K30-TODAY(),"0")&amp;"日"))))))</f>
        <v/>
      </c>
      <c r="Q30" s="26" t="str">
        <f aca="true">IF(OR($H30="",$O30&lt;&gt;"",$N30&lt;&gt;"",$K30=""),"",$K30-TODAY())</f>
        <v/>
      </c>
      <c r="R30" s="2" t="str">
        <f aca="false">IF($H30="","",IF(AND($B30=パトロール報告書!$C$3,$C30=パトロール報告書!$C$4),COUNTIFS($B$7:$B30,パトロール報告書!$C$3,$C$7:$C30,パトロール報告書!$C$4),""))</f>
        <v/>
      </c>
    </row>
    <row r="31" customFormat="false" ht="15" hidden="false" customHeight="false" outlineLevel="0" collapsed="false">
      <c r="A31" s="19" t="str">
        <f aca="false">IF($H31="","",COUNTA($H$7:$H31))</f>
        <v/>
      </c>
      <c r="B31" s="20"/>
      <c r="C31" s="21"/>
      <c r="D31" s="22"/>
      <c r="E31" s="22"/>
      <c r="F31" s="22"/>
      <c r="G31" s="21"/>
      <c r="H31" s="21"/>
      <c r="I31" s="23"/>
      <c r="J31" s="20"/>
      <c r="K31" s="24" t="str">
        <f aca="false">IF($B31="","",IF($J31&lt;&gt;"",$J31,$B31+IFERROR(VLOOKUP($I31,マスタ!$E$4:$F$6,2,0),7)))</f>
        <v/>
      </c>
      <c r="L31" s="21"/>
      <c r="M31" s="21"/>
      <c r="N31" s="20"/>
      <c r="O31" s="20"/>
      <c r="P31" s="25" t="str">
        <f aca="true">IF($H31="","",IF($O31&lt;&gt;"","確認済み（完了）",IF($N31&lt;&gt;"","是正済み（確認待ち）",IF($K31="","期限が未設定",IF(TODAY()&gt;$K31,"期限超過 "&amp;TEXT(TODAY()-$K31,"0")&amp;"日",IF($K31-TODAY()&lt;=3,"期限まで "&amp;TEXT($K31-TODAY(),"0")&amp;"日","未是正 あと"&amp;TEXT($K31-TODAY(),"0")&amp;"日"))))))</f>
        <v/>
      </c>
      <c r="Q31" s="26" t="str">
        <f aca="true">IF(OR($H31="",$O31&lt;&gt;"",$N31&lt;&gt;"",$K31=""),"",$K31-TODAY())</f>
        <v/>
      </c>
      <c r="R31" s="2" t="str">
        <f aca="false">IF($H31="","",IF(AND($B31=パトロール報告書!$C$3,$C31=パトロール報告書!$C$4),COUNTIFS($B$7:$B31,パトロール報告書!$C$3,$C$7:$C31,パトロール報告書!$C$4),""))</f>
        <v/>
      </c>
    </row>
    <row r="32" customFormat="false" ht="15" hidden="false" customHeight="false" outlineLevel="0" collapsed="false">
      <c r="A32" s="19" t="str">
        <f aca="false">IF($H32="","",COUNTA($H$7:$H32))</f>
        <v/>
      </c>
      <c r="B32" s="20"/>
      <c r="C32" s="21"/>
      <c r="D32" s="22"/>
      <c r="E32" s="22"/>
      <c r="F32" s="22"/>
      <c r="G32" s="21"/>
      <c r="H32" s="21"/>
      <c r="I32" s="23"/>
      <c r="J32" s="20"/>
      <c r="K32" s="24" t="str">
        <f aca="false">IF($B32="","",IF($J32&lt;&gt;"",$J32,$B32+IFERROR(VLOOKUP($I32,マスタ!$E$4:$F$6,2,0),7)))</f>
        <v/>
      </c>
      <c r="L32" s="21"/>
      <c r="M32" s="21"/>
      <c r="N32" s="20"/>
      <c r="O32" s="20"/>
      <c r="P32" s="25" t="str">
        <f aca="true">IF($H32="","",IF($O32&lt;&gt;"","確認済み（完了）",IF($N32&lt;&gt;"","是正済み（確認待ち）",IF($K32="","期限が未設定",IF(TODAY()&gt;$K32,"期限超過 "&amp;TEXT(TODAY()-$K32,"0")&amp;"日",IF($K32-TODAY()&lt;=3,"期限まで "&amp;TEXT($K32-TODAY(),"0")&amp;"日","未是正 あと"&amp;TEXT($K32-TODAY(),"0")&amp;"日"))))))</f>
        <v/>
      </c>
      <c r="Q32" s="26" t="str">
        <f aca="true">IF(OR($H32="",$O32&lt;&gt;"",$N32&lt;&gt;"",$K32=""),"",$K32-TODAY())</f>
        <v/>
      </c>
      <c r="R32" s="2" t="str">
        <f aca="false">IF($H32="","",IF(AND($B32=パトロール報告書!$C$3,$C32=パトロール報告書!$C$4),COUNTIFS($B$7:$B32,パトロール報告書!$C$3,$C$7:$C32,パトロール報告書!$C$4),""))</f>
        <v/>
      </c>
    </row>
    <row r="33" customFormat="false" ht="15" hidden="false" customHeight="false" outlineLevel="0" collapsed="false">
      <c r="A33" s="19" t="str">
        <f aca="false">IF($H33="","",COUNTA($H$7:$H33))</f>
        <v/>
      </c>
      <c r="B33" s="20"/>
      <c r="C33" s="21"/>
      <c r="D33" s="22"/>
      <c r="E33" s="22"/>
      <c r="F33" s="22"/>
      <c r="G33" s="21"/>
      <c r="H33" s="21"/>
      <c r="I33" s="23"/>
      <c r="J33" s="20"/>
      <c r="K33" s="24" t="str">
        <f aca="false">IF($B33="","",IF($J33&lt;&gt;"",$J33,$B33+IFERROR(VLOOKUP($I33,マスタ!$E$4:$F$6,2,0),7)))</f>
        <v/>
      </c>
      <c r="L33" s="21"/>
      <c r="M33" s="21"/>
      <c r="N33" s="20"/>
      <c r="O33" s="20"/>
      <c r="P33" s="25" t="str">
        <f aca="true">IF($H33="","",IF($O33&lt;&gt;"","確認済み（完了）",IF($N33&lt;&gt;"","是正済み（確認待ち）",IF($K33="","期限が未設定",IF(TODAY()&gt;$K33,"期限超過 "&amp;TEXT(TODAY()-$K33,"0")&amp;"日",IF($K33-TODAY()&lt;=3,"期限まで "&amp;TEXT($K33-TODAY(),"0")&amp;"日","未是正 あと"&amp;TEXT($K33-TODAY(),"0")&amp;"日"))))))</f>
        <v/>
      </c>
      <c r="Q33" s="26" t="str">
        <f aca="true">IF(OR($H33="",$O33&lt;&gt;"",$N33&lt;&gt;"",$K33=""),"",$K33-TODAY())</f>
        <v/>
      </c>
      <c r="R33" s="2" t="str">
        <f aca="false">IF($H33="","",IF(AND($B33=パトロール報告書!$C$3,$C33=パトロール報告書!$C$4),COUNTIFS($B$7:$B33,パトロール報告書!$C$3,$C$7:$C33,パトロール報告書!$C$4),""))</f>
        <v/>
      </c>
    </row>
    <row r="34" customFormat="false" ht="15" hidden="false" customHeight="false" outlineLevel="0" collapsed="false">
      <c r="A34" s="19" t="str">
        <f aca="false">IF($H34="","",COUNTA($H$7:$H34))</f>
        <v/>
      </c>
      <c r="B34" s="20"/>
      <c r="C34" s="21"/>
      <c r="D34" s="22"/>
      <c r="E34" s="22"/>
      <c r="F34" s="22"/>
      <c r="G34" s="21"/>
      <c r="H34" s="21"/>
      <c r="I34" s="23"/>
      <c r="J34" s="20"/>
      <c r="K34" s="24" t="str">
        <f aca="false">IF($B34="","",IF($J34&lt;&gt;"",$J34,$B34+IFERROR(VLOOKUP($I34,マスタ!$E$4:$F$6,2,0),7)))</f>
        <v/>
      </c>
      <c r="L34" s="21"/>
      <c r="M34" s="21"/>
      <c r="N34" s="20"/>
      <c r="O34" s="20"/>
      <c r="P34" s="25" t="str">
        <f aca="true">IF($H34="","",IF($O34&lt;&gt;"","確認済み（完了）",IF($N34&lt;&gt;"","是正済み（確認待ち）",IF($K34="","期限が未設定",IF(TODAY()&gt;$K34,"期限超過 "&amp;TEXT(TODAY()-$K34,"0")&amp;"日",IF($K34-TODAY()&lt;=3,"期限まで "&amp;TEXT($K34-TODAY(),"0")&amp;"日","未是正 あと"&amp;TEXT($K34-TODAY(),"0")&amp;"日"))))))</f>
        <v/>
      </c>
      <c r="Q34" s="26" t="str">
        <f aca="true">IF(OR($H34="",$O34&lt;&gt;"",$N34&lt;&gt;"",$K34=""),"",$K34-TODAY())</f>
        <v/>
      </c>
      <c r="R34" s="2" t="str">
        <f aca="false">IF($H34="","",IF(AND($B34=パトロール報告書!$C$3,$C34=パトロール報告書!$C$4),COUNTIFS($B$7:$B34,パトロール報告書!$C$3,$C$7:$C34,パトロール報告書!$C$4),""))</f>
        <v/>
      </c>
    </row>
    <row r="35" customFormat="false" ht="15" hidden="false" customHeight="false" outlineLevel="0" collapsed="false">
      <c r="A35" s="19" t="str">
        <f aca="false">IF($H35="","",COUNTA($H$7:$H35))</f>
        <v/>
      </c>
      <c r="B35" s="20"/>
      <c r="C35" s="21"/>
      <c r="D35" s="22"/>
      <c r="E35" s="22"/>
      <c r="F35" s="22"/>
      <c r="G35" s="21"/>
      <c r="H35" s="21"/>
      <c r="I35" s="23"/>
      <c r="J35" s="20"/>
      <c r="K35" s="24" t="str">
        <f aca="false">IF($B35="","",IF($J35&lt;&gt;"",$J35,$B35+IFERROR(VLOOKUP($I35,マスタ!$E$4:$F$6,2,0),7)))</f>
        <v/>
      </c>
      <c r="L35" s="21"/>
      <c r="M35" s="21"/>
      <c r="N35" s="20"/>
      <c r="O35" s="20"/>
      <c r="P35" s="25" t="str">
        <f aca="true">IF($H35="","",IF($O35&lt;&gt;"","確認済み（完了）",IF($N35&lt;&gt;"","是正済み（確認待ち）",IF($K35="","期限が未設定",IF(TODAY()&gt;$K35,"期限超過 "&amp;TEXT(TODAY()-$K35,"0")&amp;"日",IF($K35-TODAY()&lt;=3,"期限まで "&amp;TEXT($K35-TODAY(),"0")&amp;"日","未是正 あと"&amp;TEXT($K35-TODAY(),"0")&amp;"日"))))))</f>
        <v/>
      </c>
      <c r="Q35" s="26" t="str">
        <f aca="true">IF(OR($H35="",$O35&lt;&gt;"",$N35&lt;&gt;"",$K35=""),"",$K35-TODAY())</f>
        <v/>
      </c>
      <c r="R35" s="2" t="str">
        <f aca="false">IF($H35="","",IF(AND($B35=パトロール報告書!$C$3,$C35=パトロール報告書!$C$4),COUNTIFS($B$7:$B35,パトロール報告書!$C$3,$C$7:$C35,パトロール報告書!$C$4),""))</f>
        <v/>
      </c>
    </row>
    <row r="36" customFormat="false" ht="15" hidden="false" customHeight="false" outlineLevel="0" collapsed="false">
      <c r="A36" s="19" t="str">
        <f aca="false">IF($H36="","",COUNTA($H$7:$H36))</f>
        <v/>
      </c>
      <c r="B36" s="20"/>
      <c r="C36" s="21"/>
      <c r="D36" s="22"/>
      <c r="E36" s="22"/>
      <c r="F36" s="22"/>
      <c r="G36" s="21"/>
      <c r="H36" s="21"/>
      <c r="I36" s="23"/>
      <c r="J36" s="20"/>
      <c r="K36" s="24" t="str">
        <f aca="false">IF($B36="","",IF($J36&lt;&gt;"",$J36,$B36+IFERROR(VLOOKUP($I36,マスタ!$E$4:$F$6,2,0),7)))</f>
        <v/>
      </c>
      <c r="L36" s="21"/>
      <c r="M36" s="21"/>
      <c r="N36" s="20"/>
      <c r="O36" s="20"/>
      <c r="P36" s="25" t="str">
        <f aca="true">IF($H36="","",IF($O36&lt;&gt;"","確認済み（完了）",IF($N36&lt;&gt;"","是正済み（確認待ち）",IF($K36="","期限が未設定",IF(TODAY()&gt;$K36,"期限超過 "&amp;TEXT(TODAY()-$K36,"0")&amp;"日",IF($K36-TODAY()&lt;=3,"期限まで "&amp;TEXT($K36-TODAY(),"0")&amp;"日","未是正 あと"&amp;TEXT($K36-TODAY(),"0")&amp;"日"))))))</f>
        <v/>
      </c>
      <c r="Q36" s="26" t="str">
        <f aca="true">IF(OR($H36="",$O36&lt;&gt;"",$N36&lt;&gt;"",$K36=""),"",$K36-TODAY())</f>
        <v/>
      </c>
      <c r="R36" s="2" t="str">
        <f aca="false">IF($H36="","",IF(AND($B36=パトロール報告書!$C$3,$C36=パトロール報告書!$C$4),COUNTIFS($B$7:$B36,パトロール報告書!$C$3,$C$7:$C36,パトロール報告書!$C$4),""))</f>
        <v/>
      </c>
    </row>
    <row r="37" customFormat="false" ht="15" hidden="false" customHeight="false" outlineLevel="0" collapsed="false">
      <c r="A37" s="19" t="str">
        <f aca="false">IF($H37="","",COUNTA($H$7:$H37))</f>
        <v/>
      </c>
      <c r="B37" s="20"/>
      <c r="C37" s="21"/>
      <c r="D37" s="22"/>
      <c r="E37" s="22"/>
      <c r="F37" s="22"/>
      <c r="G37" s="21"/>
      <c r="H37" s="21"/>
      <c r="I37" s="23"/>
      <c r="J37" s="20"/>
      <c r="K37" s="24" t="str">
        <f aca="false">IF($B37="","",IF($J37&lt;&gt;"",$J37,$B37+IFERROR(VLOOKUP($I37,マスタ!$E$4:$F$6,2,0),7)))</f>
        <v/>
      </c>
      <c r="L37" s="21"/>
      <c r="M37" s="21"/>
      <c r="N37" s="20"/>
      <c r="O37" s="20"/>
      <c r="P37" s="25" t="str">
        <f aca="true">IF($H37="","",IF($O37&lt;&gt;"","確認済み（完了）",IF($N37&lt;&gt;"","是正済み（確認待ち）",IF($K37="","期限が未設定",IF(TODAY()&gt;$K37,"期限超過 "&amp;TEXT(TODAY()-$K37,"0")&amp;"日",IF($K37-TODAY()&lt;=3,"期限まで "&amp;TEXT($K37-TODAY(),"0")&amp;"日","未是正 あと"&amp;TEXT($K37-TODAY(),"0")&amp;"日"))))))</f>
        <v/>
      </c>
      <c r="Q37" s="26" t="str">
        <f aca="true">IF(OR($H37="",$O37&lt;&gt;"",$N37&lt;&gt;"",$K37=""),"",$K37-TODAY())</f>
        <v/>
      </c>
      <c r="R37" s="2" t="str">
        <f aca="false">IF($H37="","",IF(AND($B37=パトロール報告書!$C$3,$C37=パトロール報告書!$C$4),COUNTIFS($B$7:$B37,パトロール報告書!$C$3,$C$7:$C37,パトロール報告書!$C$4),""))</f>
        <v/>
      </c>
    </row>
    <row r="38" customFormat="false" ht="15" hidden="false" customHeight="false" outlineLevel="0" collapsed="false">
      <c r="A38" s="19" t="str">
        <f aca="false">IF($H38="","",COUNTA($H$7:$H38))</f>
        <v/>
      </c>
      <c r="B38" s="20"/>
      <c r="C38" s="21"/>
      <c r="D38" s="22"/>
      <c r="E38" s="22"/>
      <c r="F38" s="22"/>
      <c r="G38" s="21"/>
      <c r="H38" s="21"/>
      <c r="I38" s="23"/>
      <c r="J38" s="20"/>
      <c r="K38" s="24" t="str">
        <f aca="false">IF($B38="","",IF($J38&lt;&gt;"",$J38,$B38+IFERROR(VLOOKUP($I38,マスタ!$E$4:$F$6,2,0),7)))</f>
        <v/>
      </c>
      <c r="L38" s="21"/>
      <c r="M38" s="21"/>
      <c r="N38" s="20"/>
      <c r="O38" s="20"/>
      <c r="P38" s="25" t="str">
        <f aca="true">IF($H38="","",IF($O38&lt;&gt;"","確認済み（完了）",IF($N38&lt;&gt;"","是正済み（確認待ち）",IF($K38="","期限が未設定",IF(TODAY()&gt;$K38,"期限超過 "&amp;TEXT(TODAY()-$K38,"0")&amp;"日",IF($K38-TODAY()&lt;=3,"期限まで "&amp;TEXT($K38-TODAY(),"0")&amp;"日","未是正 あと"&amp;TEXT($K38-TODAY(),"0")&amp;"日"))))))</f>
        <v/>
      </c>
      <c r="Q38" s="26" t="str">
        <f aca="true">IF(OR($H38="",$O38&lt;&gt;"",$N38&lt;&gt;"",$K38=""),"",$K38-TODAY())</f>
        <v/>
      </c>
      <c r="R38" s="2" t="str">
        <f aca="false">IF($H38="","",IF(AND($B38=パトロール報告書!$C$3,$C38=パトロール報告書!$C$4),COUNTIFS($B$7:$B38,パトロール報告書!$C$3,$C$7:$C38,パトロール報告書!$C$4),""))</f>
        <v/>
      </c>
    </row>
    <row r="39" customFormat="false" ht="15" hidden="false" customHeight="false" outlineLevel="0" collapsed="false">
      <c r="A39" s="19" t="str">
        <f aca="false">IF($H39="","",COUNTA($H$7:$H39))</f>
        <v/>
      </c>
      <c r="B39" s="20"/>
      <c r="C39" s="21"/>
      <c r="D39" s="22"/>
      <c r="E39" s="22"/>
      <c r="F39" s="22"/>
      <c r="G39" s="21"/>
      <c r="H39" s="21"/>
      <c r="I39" s="23"/>
      <c r="J39" s="20"/>
      <c r="K39" s="24" t="str">
        <f aca="false">IF($B39="","",IF($J39&lt;&gt;"",$J39,$B39+IFERROR(VLOOKUP($I39,マスタ!$E$4:$F$6,2,0),7)))</f>
        <v/>
      </c>
      <c r="L39" s="21"/>
      <c r="M39" s="21"/>
      <c r="N39" s="20"/>
      <c r="O39" s="20"/>
      <c r="P39" s="25" t="str">
        <f aca="true">IF($H39="","",IF($O39&lt;&gt;"","確認済み（完了）",IF($N39&lt;&gt;"","是正済み（確認待ち）",IF($K39="","期限が未設定",IF(TODAY()&gt;$K39,"期限超過 "&amp;TEXT(TODAY()-$K39,"0")&amp;"日",IF($K39-TODAY()&lt;=3,"期限まで "&amp;TEXT($K39-TODAY(),"0")&amp;"日","未是正 あと"&amp;TEXT($K39-TODAY(),"0")&amp;"日"))))))</f>
        <v/>
      </c>
      <c r="Q39" s="26" t="str">
        <f aca="true">IF(OR($H39="",$O39&lt;&gt;"",$N39&lt;&gt;"",$K39=""),"",$K39-TODAY())</f>
        <v/>
      </c>
      <c r="R39" s="2" t="str">
        <f aca="false">IF($H39="","",IF(AND($B39=パトロール報告書!$C$3,$C39=パトロール報告書!$C$4),COUNTIFS($B$7:$B39,パトロール報告書!$C$3,$C$7:$C39,パトロール報告書!$C$4),""))</f>
        <v/>
      </c>
    </row>
    <row r="40" customFormat="false" ht="15" hidden="false" customHeight="false" outlineLevel="0" collapsed="false">
      <c r="A40" s="19" t="str">
        <f aca="false">IF($H40="","",COUNTA($H$7:$H40))</f>
        <v/>
      </c>
      <c r="B40" s="20"/>
      <c r="C40" s="21"/>
      <c r="D40" s="22"/>
      <c r="E40" s="22"/>
      <c r="F40" s="22"/>
      <c r="G40" s="21"/>
      <c r="H40" s="21"/>
      <c r="I40" s="23"/>
      <c r="J40" s="20"/>
      <c r="K40" s="24" t="str">
        <f aca="false">IF($B40="","",IF($J40&lt;&gt;"",$J40,$B40+IFERROR(VLOOKUP($I40,マスタ!$E$4:$F$6,2,0),7)))</f>
        <v/>
      </c>
      <c r="L40" s="21"/>
      <c r="M40" s="21"/>
      <c r="N40" s="20"/>
      <c r="O40" s="20"/>
      <c r="P40" s="25" t="str">
        <f aca="true">IF($H40="","",IF($O40&lt;&gt;"","確認済み（完了）",IF($N40&lt;&gt;"","是正済み（確認待ち）",IF($K40="","期限が未設定",IF(TODAY()&gt;$K40,"期限超過 "&amp;TEXT(TODAY()-$K40,"0")&amp;"日",IF($K40-TODAY()&lt;=3,"期限まで "&amp;TEXT($K40-TODAY(),"0")&amp;"日","未是正 あと"&amp;TEXT($K40-TODAY(),"0")&amp;"日"))))))</f>
        <v/>
      </c>
      <c r="Q40" s="26" t="str">
        <f aca="true">IF(OR($H40="",$O40&lt;&gt;"",$N40&lt;&gt;"",$K40=""),"",$K40-TODAY())</f>
        <v/>
      </c>
      <c r="R40" s="2" t="str">
        <f aca="false">IF($H40="","",IF(AND($B40=パトロール報告書!$C$3,$C40=パトロール報告書!$C$4),COUNTIFS($B$7:$B40,パトロール報告書!$C$3,$C$7:$C40,パトロール報告書!$C$4),""))</f>
        <v/>
      </c>
    </row>
    <row r="41" customFormat="false" ht="15" hidden="false" customHeight="false" outlineLevel="0" collapsed="false">
      <c r="A41" s="19" t="str">
        <f aca="false">IF($H41="","",COUNTA($H$7:$H41))</f>
        <v/>
      </c>
      <c r="B41" s="20"/>
      <c r="C41" s="21"/>
      <c r="D41" s="22"/>
      <c r="E41" s="22"/>
      <c r="F41" s="22"/>
      <c r="G41" s="21"/>
      <c r="H41" s="21"/>
      <c r="I41" s="23"/>
      <c r="J41" s="20"/>
      <c r="K41" s="24" t="str">
        <f aca="false">IF($B41="","",IF($J41&lt;&gt;"",$J41,$B41+IFERROR(VLOOKUP($I41,マスタ!$E$4:$F$6,2,0),7)))</f>
        <v/>
      </c>
      <c r="L41" s="21"/>
      <c r="M41" s="21"/>
      <c r="N41" s="20"/>
      <c r="O41" s="20"/>
      <c r="P41" s="25" t="str">
        <f aca="true">IF($H41="","",IF($O41&lt;&gt;"","確認済み（完了）",IF($N41&lt;&gt;"","是正済み（確認待ち）",IF($K41="","期限が未設定",IF(TODAY()&gt;$K41,"期限超過 "&amp;TEXT(TODAY()-$K41,"0")&amp;"日",IF($K41-TODAY()&lt;=3,"期限まで "&amp;TEXT($K41-TODAY(),"0")&amp;"日","未是正 あと"&amp;TEXT($K41-TODAY(),"0")&amp;"日"))))))</f>
        <v/>
      </c>
      <c r="Q41" s="26" t="str">
        <f aca="true">IF(OR($H41="",$O41&lt;&gt;"",$N41&lt;&gt;"",$K41=""),"",$K41-TODAY())</f>
        <v/>
      </c>
      <c r="R41" s="2" t="str">
        <f aca="false">IF($H41="","",IF(AND($B41=パトロール報告書!$C$3,$C41=パトロール報告書!$C$4),COUNTIFS($B$7:$B41,パトロール報告書!$C$3,$C$7:$C41,パトロール報告書!$C$4),""))</f>
        <v/>
      </c>
    </row>
    <row r="42" customFormat="false" ht="15" hidden="false" customHeight="false" outlineLevel="0" collapsed="false">
      <c r="A42" s="19" t="str">
        <f aca="false">IF($H42="","",COUNTA($H$7:$H42))</f>
        <v/>
      </c>
      <c r="B42" s="20"/>
      <c r="C42" s="21"/>
      <c r="D42" s="22"/>
      <c r="E42" s="22"/>
      <c r="F42" s="22"/>
      <c r="G42" s="21"/>
      <c r="H42" s="21"/>
      <c r="I42" s="23"/>
      <c r="J42" s="20"/>
      <c r="K42" s="24" t="str">
        <f aca="false">IF($B42="","",IF($J42&lt;&gt;"",$J42,$B42+IFERROR(VLOOKUP($I42,マスタ!$E$4:$F$6,2,0),7)))</f>
        <v/>
      </c>
      <c r="L42" s="21"/>
      <c r="M42" s="21"/>
      <c r="N42" s="20"/>
      <c r="O42" s="20"/>
      <c r="P42" s="25" t="str">
        <f aca="true">IF($H42="","",IF($O42&lt;&gt;"","確認済み（完了）",IF($N42&lt;&gt;"","是正済み（確認待ち）",IF($K42="","期限が未設定",IF(TODAY()&gt;$K42,"期限超過 "&amp;TEXT(TODAY()-$K42,"0")&amp;"日",IF($K42-TODAY()&lt;=3,"期限まで "&amp;TEXT($K42-TODAY(),"0")&amp;"日","未是正 あと"&amp;TEXT($K42-TODAY(),"0")&amp;"日"))))))</f>
        <v/>
      </c>
      <c r="Q42" s="26" t="str">
        <f aca="true">IF(OR($H42="",$O42&lt;&gt;"",$N42&lt;&gt;"",$K42=""),"",$K42-TODAY())</f>
        <v/>
      </c>
      <c r="R42" s="2" t="str">
        <f aca="false">IF($H42="","",IF(AND($B42=パトロール報告書!$C$3,$C42=パトロール報告書!$C$4),COUNTIFS($B$7:$B42,パトロール報告書!$C$3,$C$7:$C42,パトロール報告書!$C$4),""))</f>
        <v/>
      </c>
    </row>
    <row r="43" customFormat="false" ht="15" hidden="false" customHeight="false" outlineLevel="0" collapsed="false">
      <c r="A43" s="19" t="str">
        <f aca="false">IF($H43="","",COUNTA($H$7:$H43))</f>
        <v/>
      </c>
      <c r="B43" s="20"/>
      <c r="C43" s="21"/>
      <c r="D43" s="22"/>
      <c r="E43" s="22"/>
      <c r="F43" s="22"/>
      <c r="G43" s="21"/>
      <c r="H43" s="21"/>
      <c r="I43" s="23"/>
      <c r="J43" s="20"/>
      <c r="K43" s="24" t="str">
        <f aca="false">IF($B43="","",IF($J43&lt;&gt;"",$J43,$B43+IFERROR(VLOOKUP($I43,マスタ!$E$4:$F$6,2,0),7)))</f>
        <v/>
      </c>
      <c r="L43" s="21"/>
      <c r="M43" s="21"/>
      <c r="N43" s="20"/>
      <c r="O43" s="20"/>
      <c r="P43" s="25" t="str">
        <f aca="true">IF($H43="","",IF($O43&lt;&gt;"","確認済み（完了）",IF($N43&lt;&gt;"","是正済み（確認待ち）",IF($K43="","期限が未設定",IF(TODAY()&gt;$K43,"期限超過 "&amp;TEXT(TODAY()-$K43,"0")&amp;"日",IF($K43-TODAY()&lt;=3,"期限まで "&amp;TEXT($K43-TODAY(),"0")&amp;"日","未是正 あと"&amp;TEXT($K43-TODAY(),"0")&amp;"日"))))))</f>
        <v/>
      </c>
      <c r="Q43" s="26" t="str">
        <f aca="true">IF(OR($H43="",$O43&lt;&gt;"",$N43&lt;&gt;"",$K43=""),"",$K43-TODAY())</f>
        <v/>
      </c>
      <c r="R43" s="2" t="str">
        <f aca="false">IF($H43="","",IF(AND($B43=パトロール報告書!$C$3,$C43=パトロール報告書!$C$4),COUNTIFS($B$7:$B43,パトロール報告書!$C$3,$C$7:$C43,パトロール報告書!$C$4),""))</f>
        <v/>
      </c>
    </row>
    <row r="44" customFormat="false" ht="15" hidden="false" customHeight="false" outlineLevel="0" collapsed="false">
      <c r="A44" s="19" t="str">
        <f aca="false">IF($H44="","",COUNTA($H$7:$H44))</f>
        <v/>
      </c>
      <c r="B44" s="20"/>
      <c r="C44" s="21"/>
      <c r="D44" s="22"/>
      <c r="E44" s="22"/>
      <c r="F44" s="22"/>
      <c r="G44" s="21"/>
      <c r="H44" s="21"/>
      <c r="I44" s="23"/>
      <c r="J44" s="20"/>
      <c r="K44" s="24" t="str">
        <f aca="false">IF($B44="","",IF($J44&lt;&gt;"",$J44,$B44+IFERROR(VLOOKUP($I44,マスタ!$E$4:$F$6,2,0),7)))</f>
        <v/>
      </c>
      <c r="L44" s="21"/>
      <c r="M44" s="21"/>
      <c r="N44" s="20"/>
      <c r="O44" s="20"/>
      <c r="P44" s="25" t="str">
        <f aca="true">IF($H44="","",IF($O44&lt;&gt;"","確認済み（完了）",IF($N44&lt;&gt;"","是正済み（確認待ち）",IF($K44="","期限が未設定",IF(TODAY()&gt;$K44,"期限超過 "&amp;TEXT(TODAY()-$K44,"0")&amp;"日",IF($K44-TODAY()&lt;=3,"期限まで "&amp;TEXT($K44-TODAY(),"0")&amp;"日","未是正 あと"&amp;TEXT($K44-TODAY(),"0")&amp;"日"))))))</f>
        <v/>
      </c>
      <c r="Q44" s="26" t="str">
        <f aca="true">IF(OR($H44="",$O44&lt;&gt;"",$N44&lt;&gt;"",$K44=""),"",$K44-TODAY())</f>
        <v/>
      </c>
      <c r="R44" s="2" t="str">
        <f aca="false">IF($H44="","",IF(AND($B44=パトロール報告書!$C$3,$C44=パトロール報告書!$C$4),COUNTIFS($B$7:$B44,パトロール報告書!$C$3,$C$7:$C44,パトロール報告書!$C$4),""))</f>
        <v/>
      </c>
    </row>
    <row r="45" customFormat="false" ht="15" hidden="false" customHeight="false" outlineLevel="0" collapsed="false">
      <c r="A45" s="19" t="str">
        <f aca="false">IF($H45="","",COUNTA($H$7:$H45))</f>
        <v/>
      </c>
      <c r="B45" s="20"/>
      <c r="C45" s="21"/>
      <c r="D45" s="22"/>
      <c r="E45" s="22"/>
      <c r="F45" s="22"/>
      <c r="G45" s="21"/>
      <c r="H45" s="21"/>
      <c r="I45" s="23"/>
      <c r="J45" s="20"/>
      <c r="K45" s="24" t="str">
        <f aca="false">IF($B45="","",IF($J45&lt;&gt;"",$J45,$B45+IFERROR(VLOOKUP($I45,マスタ!$E$4:$F$6,2,0),7)))</f>
        <v/>
      </c>
      <c r="L45" s="21"/>
      <c r="M45" s="21"/>
      <c r="N45" s="20"/>
      <c r="O45" s="20"/>
      <c r="P45" s="25" t="str">
        <f aca="true">IF($H45="","",IF($O45&lt;&gt;"","確認済み（完了）",IF($N45&lt;&gt;"","是正済み（確認待ち）",IF($K45="","期限が未設定",IF(TODAY()&gt;$K45,"期限超過 "&amp;TEXT(TODAY()-$K45,"0")&amp;"日",IF($K45-TODAY()&lt;=3,"期限まで "&amp;TEXT($K45-TODAY(),"0")&amp;"日","未是正 あと"&amp;TEXT($K45-TODAY(),"0")&amp;"日"))))))</f>
        <v/>
      </c>
      <c r="Q45" s="26" t="str">
        <f aca="true">IF(OR($H45="",$O45&lt;&gt;"",$N45&lt;&gt;"",$K45=""),"",$K45-TODAY())</f>
        <v/>
      </c>
      <c r="R45" s="2" t="str">
        <f aca="false">IF($H45="","",IF(AND($B45=パトロール報告書!$C$3,$C45=パトロール報告書!$C$4),COUNTIFS($B$7:$B45,パトロール報告書!$C$3,$C$7:$C45,パトロール報告書!$C$4),""))</f>
        <v/>
      </c>
    </row>
    <row r="46" customFormat="false" ht="15" hidden="false" customHeight="false" outlineLevel="0" collapsed="false">
      <c r="A46" s="19" t="str">
        <f aca="false">IF($H46="","",COUNTA($H$7:$H46))</f>
        <v/>
      </c>
      <c r="B46" s="20"/>
      <c r="C46" s="21"/>
      <c r="D46" s="22"/>
      <c r="E46" s="22"/>
      <c r="F46" s="22"/>
      <c r="G46" s="21"/>
      <c r="H46" s="21"/>
      <c r="I46" s="23"/>
      <c r="J46" s="20"/>
      <c r="K46" s="24" t="str">
        <f aca="false">IF($B46="","",IF($J46&lt;&gt;"",$J46,$B46+IFERROR(VLOOKUP($I46,マスタ!$E$4:$F$6,2,0),7)))</f>
        <v/>
      </c>
      <c r="L46" s="21"/>
      <c r="M46" s="21"/>
      <c r="N46" s="20"/>
      <c r="O46" s="20"/>
      <c r="P46" s="25" t="str">
        <f aca="true">IF($H46="","",IF($O46&lt;&gt;"","確認済み（完了）",IF($N46&lt;&gt;"","是正済み（確認待ち）",IF($K46="","期限が未設定",IF(TODAY()&gt;$K46,"期限超過 "&amp;TEXT(TODAY()-$K46,"0")&amp;"日",IF($K46-TODAY()&lt;=3,"期限まで "&amp;TEXT($K46-TODAY(),"0")&amp;"日","未是正 あと"&amp;TEXT($K46-TODAY(),"0")&amp;"日"))))))</f>
        <v/>
      </c>
      <c r="Q46" s="26" t="str">
        <f aca="true">IF(OR($H46="",$O46&lt;&gt;"",$N46&lt;&gt;"",$K46=""),"",$K46-TODAY())</f>
        <v/>
      </c>
      <c r="R46" s="2" t="str">
        <f aca="false">IF($H46="","",IF(AND($B46=パトロール報告書!$C$3,$C46=パトロール報告書!$C$4),COUNTIFS($B$7:$B46,パトロール報告書!$C$3,$C$7:$C46,パトロール報告書!$C$4),""))</f>
        <v/>
      </c>
    </row>
    <row r="47" customFormat="false" ht="15" hidden="false" customHeight="false" outlineLevel="0" collapsed="false">
      <c r="A47" s="19" t="str">
        <f aca="false">IF($H47="","",COUNTA($H$7:$H47))</f>
        <v/>
      </c>
      <c r="B47" s="20"/>
      <c r="C47" s="21"/>
      <c r="D47" s="22"/>
      <c r="E47" s="22"/>
      <c r="F47" s="22"/>
      <c r="G47" s="21"/>
      <c r="H47" s="21"/>
      <c r="I47" s="23"/>
      <c r="J47" s="20"/>
      <c r="K47" s="24" t="str">
        <f aca="false">IF($B47="","",IF($J47&lt;&gt;"",$J47,$B47+IFERROR(VLOOKUP($I47,マスタ!$E$4:$F$6,2,0),7)))</f>
        <v/>
      </c>
      <c r="L47" s="21"/>
      <c r="M47" s="21"/>
      <c r="N47" s="20"/>
      <c r="O47" s="20"/>
      <c r="P47" s="25" t="str">
        <f aca="true">IF($H47="","",IF($O47&lt;&gt;"","確認済み（完了）",IF($N47&lt;&gt;"","是正済み（確認待ち）",IF($K47="","期限が未設定",IF(TODAY()&gt;$K47,"期限超過 "&amp;TEXT(TODAY()-$K47,"0")&amp;"日",IF($K47-TODAY()&lt;=3,"期限まで "&amp;TEXT($K47-TODAY(),"0")&amp;"日","未是正 あと"&amp;TEXT($K47-TODAY(),"0")&amp;"日"))))))</f>
        <v/>
      </c>
      <c r="Q47" s="26" t="str">
        <f aca="true">IF(OR($H47="",$O47&lt;&gt;"",$N47&lt;&gt;"",$K47=""),"",$K47-TODAY())</f>
        <v/>
      </c>
      <c r="R47" s="2" t="str">
        <f aca="false">IF($H47="","",IF(AND($B47=パトロール報告書!$C$3,$C47=パトロール報告書!$C$4),COUNTIFS($B$7:$B47,パトロール報告書!$C$3,$C$7:$C47,パトロール報告書!$C$4),""))</f>
        <v/>
      </c>
    </row>
    <row r="48" customFormat="false" ht="15" hidden="false" customHeight="false" outlineLevel="0" collapsed="false">
      <c r="A48" s="19" t="str">
        <f aca="false">IF($H48="","",COUNTA($H$7:$H48))</f>
        <v/>
      </c>
      <c r="B48" s="20"/>
      <c r="C48" s="21"/>
      <c r="D48" s="22"/>
      <c r="E48" s="22"/>
      <c r="F48" s="22"/>
      <c r="G48" s="21"/>
      <c r="H48" s="21"/>
      <c r="I48" s="23"/>
      <c r="J48" s="20"/>
      <c r="K48" s="24" t="str">
        <f aca="false">IF($B48="","",IF($J48&lt;&gt;"",$J48,$B48+IFERROR(VLOOKUP($I48,マスタ!$E$4:$F$6,2,0),7)))</f>
        <v/>
      </c>
      <c r="L48" s="21"/>
      <c r="M48" s="21"/>
      <c r="N48" s="20"/>
      <c r="O48" s="20"/>
      <c r="P48" s="25" t="str">
        <f aca="true">IF($H48="","",IF($O48&lt;&gt;"","確認済み（完了）",IF($N48&lt;&gt;"","是正済み（確認待ち）",IF($K48="","期限が未設定",IF(TODAY()&gt;$K48,"期限超過 "&amp;TEXT(TODAY()-$K48,"0")&amp;"日",IF($K48-TODAY()&lt;=3,"期限まで "&amp;TEXT($K48-TODAY(),"0")&amp;"日","未是正 あと"&amp;TEXT($K48-TODAY(),"0")&amp;"日"))))))</f>
        <v/>
      </c>
      <c r="Q48" s="26" t="str">
        <f aca="true">IF(OR($H48="",$O48&lt;&gt;"",$N48&lt;&gt;"",$K48=""),"",$K48-TODAY())</f>
        <v/>
      </c>
      <c r="R48" s="2" t="str">
        <f aca="false">IF($H48="","",IF(AND($B48=パトロール報告書!$C$3,$C48=パトロール報告書!$C$4),COUNTIFS($B$7:$B48,パトロール報告書!$C$3,$C$7:$C48,パトロール報告書!$C$4),""))</f>
        <v/>
      </c>
    </row>
    <row r="49" customFormat="false" ht="15" hidden="false" customHeight="false" outlineLevel="0" collapsed="false">
      <c r="A49" s="19" t="str">
        <f aca="false">IF($H49="","",COUNTA($H$7:$H49))</f>
        <v/>
      </c>
      <c r="B49" s="20"/>
      <c r="C49" s="21"/>
      <c r="D49" s="22"/>
      <c r="E49" s="22"/>
      <c r="F49" s="22"/>
      <c r="G49" s="21"/>
      <c r="H49" s="21"/>
      <c r="I49" s="23"/>
      <c r="J49" s="20"/>
      <c r="K49" s="24" t="str">
        <f aca="false">IF($B49="","",IF($J49&lt;&gt;"",$J49,$B49+IFERROR(VLOOKUP($I49,マスタ!$E$4:$F$6,2,0),7)))</f>
        <v/>
      </c>
      <c r="L49" s="21"/>
      <c r="M49" s="21"/>
      <c r="N49" s="20"/>
      <c r="O49" s="20"/>
      <c r="P49" s="25" t="str">
        <f aca="true">IF($H49="","",IF($O49&lt;&gt;"","確認済み（完了）",IF($N49&lt;&gt;"","是正済み（確認待ち）",IF($K49="","期限が未設定",IF(TODAY()&gt;$K49,"期限超過 "&amp;TEXT(TODAY()-$K49,"0")&amp;"日",IF($K49-TODAY()&lt;=3,"期限まで "&amp;TEXT($K49-TODAY(),"0")&amp;"日","未是正 あと"&amp;TEXT($K49-TODAY(),"0")&amp;"日"))))))</f>
        <v/>
      </c>
      <c r="Q49" s="26" t="str">
        <f aca="true">IF(OR($H49="",$O49&lt;&gt;"",$N49&lt;&gt;"",$K49=""),"",$K49-TODAY())</f>
        <v/>
      </c>
      <c r="R49" s="2" t="str">
        <f aca="false">IF($H49="","",IF(AND($B49=パトロール報告書!$C$3,$C49=パトロール報告書!$C$4),COUNTIFS($B$7:$B49,パトロール報告書!$C$3,$C$7:$C49,パトロール報告書!$C$4),""))</f>
        <v/>
      </c>
    </row>
    <row r="50" customFormat="false" ht="15" hidden="false" customHeight="false" outlineLevel="0" collapsed="false">
      <c r="A50" s="19" t="str">
        <f aca="false">IF($H50="","",COUNTA($H$7:$H50))</f>
        <v/>
      </c>
      <c r="B50" s="20"/>
      <c r="C50" s="21"/>
      <c r="D50" s="22"/>
      <c r="E50" s="22"/>
      <c r="F50" s="22"/>
      <c r="G50" s="21"/>
      <c r="H50" s="21"/>
      <c r="I50" s="23"/>
      <c r="J50" s="20"/>
      <c r="K50" s="24" t="str">
        <f aca="false">IF($B50="","",IF($J50&lt;&gt;"",$J50,$B50+IFERROR(VLOOKUP($I50,マスタ!$E$4:$F$6,2,0),7)))</f>
        <v/>
      </c>
      <c r="L50" s="21"/>
      <c r="M50" s="21"/>
      <c r="N50" s="20"/>
      <c r="O50" s="20"/>
      <c r="P50" s="25" t="str">
        <f aca="true">IF($H50="","",IF($O50&lt;&gt;"","確認済み（完了）",IF($N50&lt;&gt;"","是正済み（確認待ち）",IF($K50="","期限が未設定",IF(TODAY()&gt;$K50,"期限超過 "&amp;TEXT(TODAY()-$K50,"0")&amp;"日",IF($K50-TODAY()&lt;=3,"期限まで "&amp;TEXT($K50-TODAY(),"0")&amp;"日","未是正 あと"&amp;TEXT($K50-TODAY(),"0")&amp;"日"))))))</f>
        <v/>
      </c>
      <c r="Q50" s="26" t="str">
        <f aca="true">IF(OR($H50="",$O50&lt;&gt;"",$N50&lt;&gt;"",$K50=""),"",$K50-TODAY())</f>
        <v/>
      </c>
      <c r="R50" s="2" t="str">
        <f aca="false">IF($H50="","",IF(AND($B50=パトロール報告書!$C$3,$C50=パトロール報告書!$C$4),COUNTIFS($B$7:$B50,パトロール報告書!$C$3,$C$7:$C50,パトロール報告書!$C$4),""))</f>
        <v/>
      </c>
    </row>
    <row r="51" customFormat="false" ht="15" hidden="false" customHeight="false" outlineLevel="0" collapsed="false">
      <c r="A51" s="19" t="str">
        <f aca="false">IF($H51="","",COUNTA($H$7:$H51))</f>
        <v/>
      </c>
      <c r="B51" s="20"/>
      <c r="C51" s="21"/>
      <c r="D51" s="22"/>
      <c r="E51" s="22"/>
      <c r="F51" s="22"/>
      <c r="G51" s="21"/>
      <c r="H51" s="21"/>
      <c r="I51" s="23"/>
      <c r="J51" s="20"/>
      <c r="K51" s="24" t="str">
        <f aca="false">IF($B51="","",IF($J51&lt;&gt;"",$J51,$B51+IFERROR(VLOOKUP($I51,マスタ!$E$4:$F$6,2,0),7)))</f>
        <v/>
      </c>
      <c r="L51" s="21"/>
      <c r="M51" s="21"/>
      <c r="N51" s="20"/>
      <c r="O51" s="20"/>
      <c r="P51" s="25" t="str">
        <f aca="true">IF($H51="","",IF($O51&lt;&gt;"","確認済み（完了）",IF($N51&lt;&gt;"","是正済み（確認待ち）",IF($K51="","期限が未設定",IF(TODAY()&gt;$K51,"期限超過 "&amp;TEXT(TODAY()-$K51,"0")&amp;"日",IF($K51-TODAY()&lt;=3,"期限まで "&amp;TEXT($K51-TODAY(),"0")&amp;"日","未是正 あと"&amp;TEXT($K51-TODAY(),"0")&amp;"日"))))))</f>
        <v/>
      </c>
      <c r="Q51" s="26" t="str">
        <f aca="true">IF(OR($H51="",$O51&lt;&gt;"",$N51&lt;&gt;"",$K51=""),"",$K51-TODAY())</f>
        <v/>
      </c>
      <c r="R51" s="2" t="str">
        <f aca="false">IF($H51="","",IF(AND($B51=パトロール報告書!$C$3,$C51=パトロール報告書!$C$4),COUNTIFS($B$7:$B51,パトロール報告書!$C$3,$C$7:$C51,パトロール報告書!$C$4),""))</f>
        <v/>
      </c>
    </row>
    <row r="52" customFormat="false" ht="15" hidden="false" customHeight="false" outlineLevel="0" collapsed="false">
      <c r="A52" s="19" t="str">
        <f aca="false">IF($H52="","",COUNTA($H$7:$H52))</f>
        <v/>
      </c>
      <c r="B52" s="20"/>
      <c r="C52" s="21"/>
      <c r="D52" s="22"/>
      <c r="E52" s="22"/>
      <c r="F52" s="22"/>
      <c r="G52" s="21"/>
      <c r="H52" s="21"/>
      <c r="I52" s="23"/>
      <c r="J52" s="20"/>
      <c r="K52" s="24" t="str">
        <f aca="false">IF($B52="","",IF($J52&lt;&gt;"",$J52,$B52+IFERROR(VLOOKUP($I52,マスタ!$E$4:$F$6,2,0),7)))</f>
        <v/>
      </c>
      <c r="L52" s="21"/>
      <c r="M52" s="21"/>
      <c r="N52" s="20"/>
      <c r="O52" s="20"/>
      <c r="P52" s="25" t="str">
        <f aca="true">IF($H52="","",IF($O52&lt;&gt;"","確認済み（完了）",IF($N52&lt;&gt;"","是正済み（確認待ち）",IF($K52="","期限が未設定",IF(TODAY()&gt;$K52,"期限超過 "&amp;TEXT(TODAY()-$K52,"0")&amp;"日",IF($K52-TODAY()&lt;=3,"期限まで "&amp;TEXT($K52-TODAY(),"0")&amp;"日","未是正 あと"&amp;TEXT($K52-TODAY(),"0")&amp;"日"))))))</f>
        <v/>
      </c>
      <c r="Q52" s="26" t="str">
        <f aca="true">IF(OR($H52="",$O52&lt;&gt;"",$N52&lt;&gt;"",$K52=""),"",$K52-TODAY())</f>
        <v/>
      </c>
      <c r="R52" s="2" t="str">
        <f aca="false">IF($H52="","",IF(AND($B52=パトロール報告書!$C$3,$C52=パトロール報告書!$C$4),COUNTIFS($B$7:$B52,パトロール報告書!$C$3,$C$7:$C52,パトロール報告書!$C$4),""))</f>
        <v/>
      </c>
    </row>
    <row r="53" customFormat="false" ht="15" hidden="false" customHeight="false" outlineLevel="0" collapsed="false">
      <c r="A53" s="19" t="str">
        <f aca="false">IF($H53="","",COUNTA($H$7:$H53))</f>
        <v/>
      </c>
      <c r="B53" s="20"/>
      <c r="C53" s="21"/>
      <c r="D53" s="22"/>
      <c r="E53" s="22"/>
      <c r="F53" s="22"/>
      <c r="G53" s="21"/>
      <c r="H53" s="21"/>
      <c r="I53" s="23"/>
      <c r="J53" s="20"/>
      <c r="K53" s="24" t="str">
        <f aca="false">IF($B53="","",IF($J53&lt;&gt;"",$J53,$B53+IFERROR(VLOOKUP($I53,マスタ!$E$4:$F$6,2,0),7)))</f>
        <v/>
      </c>
      <c r="L53" s="21"/>
      <c r="M53" s="21"/>
      <c r="N53" s="20"/>
      <c r="O53" s="20"/>
      <c r="P53" s="25" t="str">
        <f aca="true">IF($H53="","",IF($O53&lt;&gt;"","確認済み（完了）",IF($N53&lt;&gt;"","是正済み（確認待ち）",IF($K53="","期限が未設定",IF(TODAY()&gt;$K53,"期限超過 "&amp;TEXT(TODAY()-$K53,"0")&amp;"日",IF($K53-TODAY()&lt;=3,"期限まで "&amp;TEXT($K53-TODAY(),"0")&amp;"日","未是正 あと"&amp;TEXT($K53-TODAY(),"0")&amp;"日"))))))</f>
        <v/>
      </c>
      <c r="Q53" s="26" t="str">
        <f aca="true">IF(OR($H53="",$O53&lt;&gt;"",$N53&lt;&gt;"",$K53=""),"",$K53-TODAY())</f>
        <v/>
      </c>
      <c r="R53" s="2" t="str">
        <f aca="false">IF($H53="","",IF(AND($B53=パトロール報告書!$C$3,$C53=パトロール報告書!$C$4),COUNTIFS($B$7:$B53,パトロール報告書!$C$3,$C$7:$C53,パトロール報告書!$C$4),""))</f>
        <v/>
      </c>
    </row>
    <row r="54" customFormat="false" ht="15" hidden="false" customHeight="false" outlineLevel="0" collapsed="false">
      <c r="A54" s="19" t="str">
        <f aca="false">IF($H54="","",COUNTA($H$7:$H54))</f>
        <v/>
      </c>
      <c r="B54" s="20"/>
      <c r="C54" s="21"/>
      <c r="D54" s="22"/>
      <c r="E54" s="22"/>
      <c r="F54" s="22"/>
      <c r="G54" s="21"/>
      <c r="H54" s="21"/>
      <c r="I54" s="23"/>
      <c r="J54" s="20"/>
      <c r="K54" s="24" t="str">
        <f aca="false">IF($B54="","",IF($J54&lt;&gt;"",$J54,$B54+IFERROR(VLOOKUP($I54,マスタ!$E$4:$F$6,2,0),7)))</f>
        <v/>
      </c>
      <c r="L54" s="21"/>
      <c r="M54" s="21"/>
      <c r="N54" s="20"/>
      <c r="O54" s="20"/>
      <c r="P54" s="25" t="str">
        <f aca="true">IF($H54="","",IF($O54&lt;&gt;"","確認済み（完了）",IF($N54&lt;&gt;"","是正済み（確認待ち）",IF($K54="","期限が未設定",IF(TODAY()&gt;$K54,"期限超過 "&amp;TEXT(TODAY()-$K54,"0")&amp;"日",IF($K54-TODAY()&lt;=3,"期限まで "&amp;TEXT($K54-TODAY(),"0")&amp;"日","未是正 あと"&amp;TEXT($K54-TODAY(),"0")&amp;"日"))))))</f>
        <v/>
      </c>
      <c r="Q54" s="26" t="str">
        <f aca="true">IF(OR($H54="",$O54&lt;&gt;"",$N54&lt;&gt;"",$K54=""),"",$K54-TODAY())</f>
        <v/>
      </c>
      <c r="R54" s="2" t="str">
        <f aca="false">IF($H54="","",IF(AND($B54=パトロール報告書!$C$3,$C54=パトロール報告書!$C$4),COUNTIFS($B$7:$B54,パトロール報告書!$C$3,$C$7:$C54,パトロール報告書!$C$4),""))</f>
        <v/>
      </c>
    </row>
    <row r="55" customFormat="false" ht="15" hidden="false" customHeight="false" outlineLevel="0" collapsed="false">
      <c r="A55" s="19" t="str">
        <f aca="false">IF($H55="","",COUNTA($H$7:$H55))</f>
        <v/>
      </c>
      <c r="B55" s="20"/>
      <c r="C55" s="21"/>
      <c r="D55" s="22"/>
      <c r="E55" s="22"/>
      <c r="F55" s="22"/>
      <c r="G55" s="21"/>
      <c r="H55" s="21"/>
      <c r="I55" s="23"/>
      <c r="J55" s="20"/>
      <c r="K55" s="24" t="str">
        <f aca="false">IF($B55="","",IF($J55&lt;&gt;"",$J55,$B55+IFERROR(VLOOKUP($I55,マスタ!$E$4:$F$6,2,0),7)))</f>
        <v/>
      </c>
      <c r="L55" s="21"/>
      <c r="M55" s="21"/>
      <c r="N55" s="20"/>
      <c r="O55" s="20"/>
      <c r="P55" s="25" t="str">
        <f aca="true">IF($H55="","",IF($O55&lt;&gt;"","確認済み（完了）",IF($N55&lt;&gt;"","是正済み（確認待ち）",IF($K55="","期限が未設定",IF(TODAY()&gt;$K55,"期限超過 "&amp;TEXT(TODAY()-$K55,"0")&amp;"日",IF($K55-TODAY()&lt;=3,"期限まで "&amp;TEXT($K55-TODAY(),"0")&amp;"日","未是正 あと"&amp;TEXT($K55-TODAY(),"0")&amp;"日"))))))</f>
        <v/>
      </c>
      <c r="Q55" s="26" t="str">
        <f aca="true">IF(OR($H55="",$O55&lt;&gt;"",$N55&lt;&gt;"",$K55=""),"",$K55-TODAY())</f>
        <v/>
      </c>
      <c r="R55" s="2" t="str">
        <f aca="false">IF($H55="","",IF(AND($B55=パトロール報告書!$C$3,$C55=パトロール報告書!$C$4),COUNTIFS($B$7:$B55,パトロール報告書!$C$3,$C$7:$C55,パトロール報告書!$C$4),""))</f>
        <v/>
      </c>
    </row>
    <row r="56" customFormat="false" ht="15" hidden="false" customHeight="false" outlineLevel="0" collapsed="false">
      <c r="A56" s="19" t="str">
        <f aca="false">IF($H56="","",COUNTA($H$7:$H56))</f>
        <v/>
      </c>
      <c r="B56" s="20"/>
      <c r="C56" s="21"/>
      <c r="D56" s="22"/>
      <c r="E56" s="22"/>
      <c r="F56" s="22"/>
      <c r="G56" s="21"/>
      <c r="H56" s="21"/>
      <c r="I56" s="23"/>
      <c r="J56" s="20"/>
      <c r="K56" s="24" t="str">
        <f aca="false">IF($B56="","",IF($J56&lt;&gt;"",$J56,$B56+IFERROR(VLOOKUP($I56,マスタ!$E$4:$F$6,2,0),7)))</f>
        <v/>
      </c>
      <c r="L56" s="21"/>
      <c r="M56" s="21"/>
      <c r="N56" s="20"/>
      <c r="O56" s="20"/>
      <c r="P56" s="25" t="str">
        <f aca="true">IF($H56="","",IF($O56&lt;&gt;"","確認済み（完了）",IF($N56&lt;&gt;"","是正済み（確認待ち）",IF($K56="","期限が未設定",IF(TODAY()&gt;$K56,"期限超過 "&amp;TEXT(TODAY()-$K56,"0")&amp;"日",IF($K56-TODAY()&lt;=3,"期限まで "&amp;TEXT($K56-TODAY(),"0")&amp;"日","未是正 あと"&amp;TEXT($K56-TODAY(),"0")&amp;"日"))))))</f>
        <v/>
      </c>
      <c r="Q56" s="26" t="str">
        <f aca="true">IF(OR($H56="",$O56&lt;&gt;"",$N56&lt;&gt;"",$K56=""),"",$K56-TODAY())</f>
        <v/>
      </c>
      <c r="R56" s="2" t="str">
        <f aca="false">IF($H56="","",IF(AND($B56=パトロール報告書!$C$3,$C56=パトロール報告書!$C$4),COUNTIFS($B$7:$B56,パトロール報告書!$C$3,$C$7:$C56,パトロール報告書!$C$4),""))</f>
        <v/>
      </c>
    </row>
    <row r="57" customFormat="false" ht="15" hidden="false" customHeight="false" outlineLevel="0" collapsed="false">
      <c r="A57" s="19" t="str">
        <f aca="false">IF($H57="","",COUNTA($H$7:$H57))</f>
        <v/>
      </c>
      <c r="B57" s="20"/>
      <c r="C57" s="21"/>
      <c r="D57" s="22"/>
      <c r="E57" s="22"/>
      <c r="F57" s="22"/>
      <c r="G57" s="21"/>
      <c r="H57" s="21"/>
      <c r="I57" s="23"/>
      <c r="J57" s="20"/>
      <c r="K57" s="24" t="str">
        <f aca="false">IF($B57="","",IF($J57&lt;&gt;"",$J57,$B57+IFERROR(VLOOKUP($I57,マスタ!$E$4:$F$6,2,0),7)))</f>
        <v/>
      </c>
      <c r="L57" s="21"/>
      <c r="M57" s="21"/>
      <c r="N57" s="20"/>
      <c r="O57" s="20"/>
      <c r="P57" s="25" t="str">
        <f aca="true">IF($H57="","",IF($O57&lt;&gt;"","確認済み（完了）",IF($N57&lt;&gt;"","是正済み（確認待ち）",IF($K57="","期限が未設定",IF(TODAY()&gt;$K57,"期限超過 "&amp;TEXT(TODAY()-$K57,"0")&amp;"日",IF($K57-TODAY()&lt;=3,"期限まで "&amp;TEXT($K57-TODAY(),"0")&amp;"日","未是正 あと"&amp;TEXT($K57-TODAY(),"0")&amp;"日"))))))</f>
        <v/>
      </c>
      <c r="Q57" s="26" t="str">
        <f aca="true">IF(OR($H57="",$O57&lt;&gt;"",$N57&lt;&gt;"",$K57=""),"",$K57-TODAY())</f>
        <v/>
      </c>
      <c r="R57" s="2" t="str">
        <f aca="false">IF($H57="","",IF(AND($B57=パトロール報告書!$C$3,$C57=パトロール報告書!$C$4),COUNTIFS($B$7:$B57,パトロール報告書!$C$3,$C$7:$C57,パトロール報告書!$C$4),""))</f>
        <v/>
      </c>
    </row>
    <row r="58" customFormat="false" ht="15" hidden="false" customHeight="false" outlineLevel="0" collapsed="false">
      <c r="A58" s="19" t="str">
        <f aca="false">IF($H58="","",COUNTA($H$7:$H58))</f>
        <v/>
      </c>
      <c r="B58" s="20"/>
      <c r="C58" s="21"/>
      <c r="D58" s="22"/>
      <c r="E58" s="22"/>
      <c r="F58" s="22"/>
      <c r="G58" s="21"/>
      <c r="H58" s="21"/>
      <c r="I58" s="23"/>
      <c r="J58" s="20"/>
      <c r="K58" s="24" t="str">
        <f aca="false">IF($B58="","",IF($J58&lt;&gt;"",$J58,$B58+IFERROR(VLOOKUP($I58,マスタ!$E$4:$F$6,2,0),7)))</f>
        <v/>
      </c>
      <c r="L58" s="21"/>
      <c r="M58" s="21"/>
      <c r="N58" s="20"/>
      <c r="O58" s="20"/>
      <c r="P58" s="25" t="str">
        <f aca="true">IF($H58="","",IF($O58&lt;&gt;"","確認済み（完了）",IF($N58&lt;&gt;"","是正済み（確認待ち）",IF($K58="","期限が未設定",IF(TODAY()&gt;$K58,"期限超過 "&amp;TEXT(TODAY()-$K58,"0")&amp;"日",IF($K58-TODAY()&lt;=3,"期限まで "&amp;TEXT($K58-TODAY(),"0")&amp;"日","未是正 あと"&amp;TEXT($K58-TODAY(),"0")&amp;"日"))))))</f>
        <v/>
      </c>
      <c r="Q58" s="26" t="str">
        <f aca="true">IF(OR($H58="",$O58&lt;&gt;"",$N58&lt;&gt;"",$K58=""),"",$K58-TODAY())</f>
        <v/>
      </c>
      <c r="R58" s="2" t="str">
        <f aca="false">IF($H58="","",IF(AND($B58=パトロール報告書!$C$3,$C58=パトロール報告書!$C$4),COUNTIFS($B$7:$B58,パトロール報告書!$C$3,$C$7:$C58,パトロール報告書!$C$4),""))</f>
        <v/>
      </c>
    </row>
    <row r="59" customFormat="false" ht="15" hidden="false" customHeight="false" outlineLevel="0" collapsed="false">
      <c r="A59" s="19" t="str">
        <f aca="false">IF($H59="","",COUNTA($H$7:$H59))</f>
        <v/>
      </c>
      <c r="B59" s="20"/>
      <c r="C59" s="21"/>
      <c r="D59" s="22"/>
      <c r="E59" s="22"/>
      <c r="F59" s="22"/>
      <c r="G59" s="21"/>
      <c r="H59" s="21"/>
      <c r="I59" s="23"/>
      <c r="J59" s="20"/>
      <c r="K59" s="24" t="str">
        <f aca="false">IF($B59="","",IF($J59&lt;&gt;"",$J59,$B59+IFERROR(VLOOKUP($I59,マスタ!$E$4:$F$6,2,0),7)))</f>
        <v/>
      </c>
      <c r="L59" s="21"/>
      <c r="M59" s="21"/>
      <c r="N59" s="20"/>
      <c r="O59" s="20"/>
      <c r="P59" s="25" t="str">
        <f aca="true">IF($H59="","",IF($O59&lt;&gt;"","確認済み（完了）",IF($N59&lt;&gt;"","是正済み（確認待ち）",IF($K59="","期限が未設定",IF(TODAY()&gt;$K59,"期限超過 "&amp;TEXT(TODAY()-$K59,"0")&amp;"日",IF($K59-TODAY()&lt;=3,"期限まで "&amp;TEXT($K59-TODAY(),"0")&amp;"日","未是正 あと"&amp;TEXT($K59-TODAY(),"0")&amp;"日"))))))</f>
        <v/>
      </c>
      <c r="Q59" s="26" t="str">
        <f aca="true">IF(OR($H59="",$O59&lt;&gt;"",$N59&lt;&gt;"",$K59=""),"",$K59-TODAY())</f>
        <v/>
      </c>
      <c r="R59" s="2" t="str">
        <f aca="false">IF($H59="","",IF(AND($B59=パトロール報告書!$C$3,$C59=パトロール報告書!$C$4),COUNTIFS($B$7:$B59,パトロール報告書!$C$3,$C$7:$C59,パトロール報告書!$C$4),""))</f>
        <v/>
      </c>
    </row>
    <row r="60" customFormat="false" ht="15" hidden="false" customHeight="false" outlineLevel="0" collapsed="false">
      <c r="A60" s="19" t="str">
        <f aca="false">IF($H60="","",COUNTA($H$7:$H60))</f>
        <v/>
      </c>
      <c r="B60" s="20"/>
      <c r="C60" s="21"/>
      <c r="D60" s="22"/>
      <c r="E60" s="22"/>
      <c r="F60" s="22"/>
      <c r="G60" s="21"/>
      <c r="H60" s="21"/>
      <c r="I60" s="23"/>
      <c r="J60" s="20"/>
      <c r="K60" s="24" t="str">
        <f aca="false">IF($B60="","",IF($J60&lt;&gt;"",$J60,$B60+IFERROR(VLOOKUP($I60,マスタ!$E$4:$F$6,2,0),7)))</f>
        <v/>
      </c>
      <c r="L60" s="21"/>
      <c r="M60" s="21"/>
      <c r="N60" s="20"/>
      <c r="O60" s="20"/>
      <c r="P60" s="25" t="str">
        <f aca="true">IF($H60="","",IF($O60&lt;&gt;"","確認済み（完了）",IF($N60&lt;&gt;"","是正済み（確認待ち）",IF($K60="","期限が未設定",IF(TODAY()&gt;$K60,"期限超過 "&amp;TEXT(TODAY()-$K60,"0")&amp;"日",IF($K60-TODAY()&lt;=3,"期限まで "&amp;TEXT($K60-TODAY(),"0")&amp;"日","未是正 あと"&amp;TEXT($K60-TODAY(),"0")&amp;"日"))))))</f>
        <v/>
      </c>
      <c r="Q60" s="26" t="str">
        <f aca="true">IF(OR($H60="",$O60&lt;&gt;"",$N60&lt;&gt;"",$K60=""),"",$K60-TODAY())</f>
        <v/>
      </c>
      <c r="R60" s="2" t="str">
        <f aca="false">IF($H60="","",IF(AND($B60=パトロール報告書!$C$3,$C60=パトロール報告書!$C$4),COUNTIFS($B$7:$B60,パトロール報告書!$C$3,$C$7:$C60,パトロール報告書!$C$4),""))</f>
        <v/>
      </c>
    </row>
    <row r="61" customFormat="false" ht="15" hidden="false" customHeight="false" outlineLevel="0" collapsed="false">
      <c r="A61" s="19" t="str">
        <f aca="false">IF($H61="","",COUNTA($H$7:$H61))</f>
        <v/>
      </c>
      <c r="B61" s="20"/>
      <c r="C61" s="21"/>
      <c r="D61" s="22"/>
      <c r="E61" s="22"/>
      <c r="F61" s="22"/>
      <c r="G61" s="21"/>
      <c r="H61" s="21"/>
      <c r="I61" s="23"/>
      <c r="J61" s="20"/>
      <c r="K61" s="24" t="str">
        <f aca="false">IF($B61="","",IF($J61&lt;&gt;"",$J61,$B61+IFERROR(VLOOKUP($I61,マスタ!$E$4:$F$6,2,0),7)))</f>
        <v/>
      </c>
      <c r="L61" s="21"/>
      <c r="M61" s="21"/>
      <c r="N61" s="20"/>
      <c r="O61" s="20"/>
      <c r="P61" s="25" t="str">
        <f aca="true">IF($H61="","",IF($O61&lt;&gt;"","確認済み（完了）",IF($N61&lt;&gt;"","是正済み（確認待ち）",IF($K61="","期限が未設定",IF(TODAY()&gt;$K61,"期限超過 "&amp;TEXT(TODAY()-$K61,"0")&amp;"日",IF($K61-TODAY()&lt;=3,"期限まで "&amp;TEXT($K61-TODAY(),"0")&amp;"日","未是正 あと"&amp;TEXT($K61-TODAY(),"0")&amp;"日"))))))</f>
        <v/>
      </c>
      <c r="Q61" s="26" t="str">
        <f aca="true">IF(OR($H61="",$O61&lt;&gt;"",$N61&lt;&gt;"",$K61=""),"",$K61-TODAY())</f>
        <v/>
      </c>
      <c r="R61" s="2" t="str">
        <f aca="false">IF($H61="","",IF(AND($B61=パトロール報告書!$C$3,$C61=パトロール報告書!$C$4),COUNTIFS($B$7:$B61,パトロール報告書!$C$3,$C$7:$C61,パトロール報告書!$C$4),""))</f>
        <v/>
      </c>
    </row>
    <row r="62" customFormat="false" ht="15" hidden="false" customHeight="false" outlineLevel="0" collapsed="false">
      <c r="A62" s="19" t="str">
        <f aca="false">IF($H62="","",COUNTA($H$7:$H62))</f>
        <v/>
      </c>
      <c r="B62" s="20"/>
      <c r="C62" s="21"/>
      <c r="D62" s="22"/>
      <c r="E62" s="22"/>
      <c r="F62" s="22"/>
      <c r="G62" s="21"/>
      <c r="H62" s="21"/>
      <c r="I62" s="23"/>
      <c r="J62" s="20"/>
      <c r="K62" s="24" t="str">
        <f aca="false">IF($B62="","",IF($J62&lt;&gt;"",$J62,$B62+IFERROR(VLOOKUP($I62,マスタ!$E$4:$F$6,2,0),7)))</f>
        <v/>
      </c>
      <c r="L62" s="21"/>
      <c r="M62" s="21"/>
      <c r="N62" s="20"/>
      <c r="O62" s="20"/>
      <c r="P62" s="25" t="str">
        <f aca="true">IF($H62="","",IF($O62&lt;&gt;"","確認済み（完了）",IF($N62&lt;&gt;"","是正済み（確認待ち）",IF($K62="","期限が未設定",IF(TODAY()&gt;$K62,"期限超過 "&amp;TEXT(TODAY()-$K62,"0")&amp;"日",IF($K62-TODAY()&lt;=3,"期限まで "&amp;TEXT($K62-TODAY(),"0")&amp;"日","未是正 あと"&amp;TEXT($K62-TODAY(),"0")&amp;"日"))))))</f>
        <v/>
      </c>
      <c r="Q62" s="26" t="str">
        <f aca="true">IF(OR($H62="",$O62&lt;&gt;"",$N62&lt;&gt;"",$K62=""),"",$K62-TODAY())</f>
        <v/>
      </c>
      <c r="R62" s="2" t="str">
        <f aca="false">IF($H62="","",IF(AND($B62=パトロール報告書!$C$3,$C62=パトロール報告書!$C$4),COUNTIFS($B$7:$B62,パトロール報告書!$C$3,$C$7:$C62,パトロール報告書!$C$4),""))</f>
        <v/>
      </c>
    </row>
    <row r="63" customFormat="false" ht="15" hidden="false" customHeight="false" outlineLevel="0" collapsed="false">
      <c r="A63" s="19" t="str">
        <f aca="false">IF($H63="","",COUNTA($H$7:$H63))</f>
        <v/>
      </c>
      <c r="B63" s="20"/>
      <c r="C63" s="21"/>
      <c r="D63" s="22"/>
      <c r="E63" s="22"/>
      <c r="F63" s="22"/>
      <c r="G63" s="21"/>
      <c r="H63" s="21"/>
      <c r="I63" s="23"/>
      <c r="J63" s="20"/>
      <c r="K63" s="24" t="str">
        <f aca="false">IF($B63="","",IF($J63&lt;&gt;"",$J63,$B63+IFERROR(VLOOKUP($I63,マスタ!$E$4:$F$6,2,0),7)))</f>
        <v/>
      </c>
      <c r="L63" s="21"/>
      <c r="M63" s="21"/>
      <c r="N63" s="20"/>
      <c r="O63" s="20"/>
      <c r="P63" s="25" t="str">
        <f aca="true">IF($H63="","",IF($O63&lt;&gt;"","確認済み（完了）",IF($N63&lt;&gt;"","是正済み（確認待ち）",IF($K63="","期限が未設定",IF(TODAY()&gt;$K63,"期限超過 "&amp;TEXT(TODAY()-$K63,"0")&amp;"日",IF($K63-TODAY()&lt;=3,"期限まで "&amp;TEXT($K63-TODAY(),"0")&amp;"日","未是正 あと"&amp;TEXT($K63-TODAY(),"0")&amp;"日"))))))</f>
        <v/>
      </c>
      <c r="Q63" s="26" t="str">
        <f aca="true">IF(OR($H63="",$O63&lt;&gt;"",$N63&lt;&gt;"",$K63=""),"",$K63-TODAY())</f>
        <v/>
      </c>
      <c r="R63" s="2" t="str">
        <f aca="false">IF($H63="","",IF(AND($B63=パトロール報告書!$C$3,$C63=パトロール報告書!$C$4),COUNTIFS($B$7:$B63,パトロール報告書!$C$3,$C$7:$C63,パトロール報告書!$C$4),""))</f>
        <v/>
      </c>
    </row>
    <row r="64" customFormat="false" ht="15" hidden="false" customHeight="false" outlineLevel="0" collapsed="false">
      <c r="A64" s="19" t="str">
        <f aca="false">IF($H64="","",COUNTA($H$7:$H64))</f>
        <v/>
      </c>
      <c r="B64" s="20"/>
      <c r="C64" s="21"/>
      <c r="D64" s="22"/>
      <c r="E64" s="22"/>
      <c r="F64" s="22"/>
      <c r="G64" s="21"/>
      <c r="H64" s="21"/>
      <c r="I64" s="23"/>
      <c r="J64" s="20"/>
      <c r="K64" s="24" t="str">
        <f aca="false">IF($B64="","",IF($J64&lt;&gt;"",$J64,$B64+IFERROR(VLOOKUP($I64,マスタ!$E$4:$F$6,2,0),7)))</f>
        <v/>
      </c>
      <c r="L64" s="21"/>
      <c r="M64" s="21"/>
      <c r="N64" s="20"/>
      <c r="O64" s="20"/>
      <c r="P64" s="25" t="str">
        <f aca="true">IF($H64="","",IF($O64&lt;&gt;"","確認済み（完了）",IF($N64&lt;&gt;"","是正済み（確認待ち）",IF($K64="","期限が未設定",IF(TODAY()&gt;$K64,"期限超過 "&amp;TEXT(TODAY()-$K64,"0")&amp;"日",IF($K64-TODAY()&lt;=3,"期限まで "&amp;TEXT($K64-TODAY(),"0")&amp;"日","未是正 あと"&amp;TEXT($K64-TODAY(),"0")&amp;"日"))))))</f>
        <v/>
      </c>
      <c r="Q64" s="26" t="str">
        <f aca="true">IF(OR($H64="",$O64&lt;&gt;"",$N64&lt;&gt;"",$K64=""),"",$K64-TODAY())</f>
        <v/>
      </c>
      <c r="R64" s="2" t="str">
        <f aca="false">IF($H64="","",IF(AND($B64=パトロール報告書!$C$3,$C64=パトロール報告書!$C$4),COUNTIFS($B$7:$B64,パトロール報告書!$C$3,$C$7:$C64,パトロール報告書!$C$4),""))</f>
        <v/>
      </c>
    </row>
    <row r="65" customFormat="false" ht="15" hidden="false" customHeight="false" outlineLevel="0" collapsed="false">
      <c r="A65" s="19" t="str">
        <f aca="false">IF($H65="","",COUNTA($H$7:$H65))</f>
        <v/>
      </c>
      <c r="B65" s="20"/>
      <c r="C65" s="21"/>
      <c r="D65" s="22"/>
      <c r="E65" s="22"/>
      <c r="F65" s="22"/>
      <c r="G65" s="21"/>
      <c r="H65" s="21"/>
      <c r="I65" s="23"/>
      <c r="J65" s="20"/>
      <c r="K65" s="24" t="str">
        <f aca="false">IF($B65="","",IF($J65&lt;&gt;"",$J65,$B65+IFERROR(VLOOKUP($I65,マスタ!$E$4:$F$6,2,0),7)))</f>
        <v/>
      </c>
      <c r="L65" s="21"/>
      <c r="M65" s="21"/>
      <c r="N65" s="20"/>
      <c r="O65" s="20"/>
      <c r="P65" s="25" t="str">
        <f aca="true">IF($H65="","",IF($O65&lt;&gt;"","確認済み（完了）",IF($N65&lt;&gt;"","是正済み（確認待ち）",IF($K65="","期限が未設定",IF(TODAY()&gt;$K65,"期限超過 "&amp;TEXT(TODAY()-$K65,"0")&amp;"日",IF($K65-TODAY()&lt;=3,"期限まで "&amp;TEXT($K65-TODAY(),"0")&amp;"日","未是正 あと"&amp;TEXT($K65-TODAY(),"0")&amp;"日"))))))</f>
        <v/>
      </c>
      <c r="Q65" s="26" t="str">
        <f aca="true">IF(OR($H65="",$O65&lt;&gt;"",$N65&lt;&gt;"",$K65=""),"",$K65-TODAY())</f>
        <v/>
      </c>
      <c r="R65" s="2" t="str">
        <f aca="false">IF($H65="","",IF(AND($B65=パトロール報告書!$C$3,$C65=パトロール報告書!$C$4),COUNTIFS($B$7:$B65,パトロール報告書!$C$3,$C$7:$C65,パトロール報告書!$C$4),""))</f>
        <v/>
      </c>
    </row>
    <row r="66" customFormat="false" ht="15" hidden="false" customHeight="false" outlineLevel="0" collapsed="false">
      <c r="A66" s="19" t="str">
        <f aca="false">IF($H66="","",COUNTA($H$7:$H66))</f>
        <v/>
      </c>
      <c r="B66" s="20"/>
      <c r="C66" s="21"/>
      <c r="D66" s="22"/>
      <c r="E66" s="22"/>
      <c r="F66" s="22"/>
      <c r="G66" s="21"/>
      <c r="H66" s="21"/>
      <c r="I66" s="23"/>
      <c r="J66" s="20"/>
      <c r="K66" s="24" t="str">
        <f aca="false">IF($B66="","",IF($J66&lt;&gt;"",$J66,$B66+IFERROR(VLOOKUP($I66,マスタ!$E$4:$F$6,2,0),7)))</f>
        <v/>
      </c>
      <c r="L66" s="21"/>
      <c r="M66" s="21"/>
      <c r="N66" s="20"/>
      <c r="O66" s="20"/>
      <c r="P66" s="25" t="str">
        <f aca="true">IF($H66="","",IF($O66&lt;&gt;"","確認済み（完了）",IF($N66&lt;&gt;"","是正済み（確認待ち）",IF($K66="","期限が未設定",IF(TODAY()&gt;$K66,"期限超過 "&amp;TEXT(TODAY()-$K66,"0")&amp;"日",IF($K66-TODAY()&lt;=3,"期限まで "&amp;TEXT($K66-TODAY(),"0")&amp;"日","未是正 あと"&amp;TEXT($K66-TODAY(),"0")&amp;"日"))))))</f>
        <v/>
      </c>
      <c r="Q66" s="26" t="str">
        <f aca="true">IF(OR($H66="",$O66&lt;&gt;"",$N66&lt;&gt;"",$K66=""),"",$K66-TODAY())</f>
        <v/>
      </c>
      <c r="R66" s="2" t="str">
        <f aca="false">IF($H66="","",IF(AND($B66=パトロール報告書!$C$3,$C66=パトロール報告書!$C$4),COUNTIFS($B$7:$B66,パトロール報告書!$C$3,$C$7:$C66,パトロール報告書!$C$4),""))</f>
        <v/>
      </c>
    </row>
    <row r="67" customFormat="false" ht="15" hidden="false" customHeight="false" outlineLevel="0" collapsed="false">
      <c r="A67" s="19" t="str">
        <f aca="false">IF($H67="","",COUNTA($H$7:$H67))</f>
        <v/>
      </c>
      <c r="B67" s="20"/>
      <c r="C67" s="21"/>
      <c r="D67" s="22"/>
      <c r="E67" s="22"/>
      <c r="F67" s="22"/>
      <c r="G67" s="21"/>
      <c r="H67" s="21"/>
      <c r="I67" s="23"/>
      <c r="J67" s="20"/>
      <c r="K67" s="24" t="str">
        <f aca="false">IF($B67="","",IF($J67&lt;&gt;"",$J67,$B67+IFERROR(VLOOKUP($I67,マスタ!$E$4:$F$6,2,0),7)))</f>
        <v/>
      </c>
      <c r="L67" s="21"/>
      <c r="M67" s="21"/>
      <c r="N67" s="20"/>
      <c r="O67" s="20"/>
      <c r="P67" s="25" t="str">
        <f aca="true">IF($H67="","",IF($O67&lt;&gt;"","確認済み（完了）",IF($N67&lt;&gt;"","是正済み（確認待ち）",IF($K67="","期限が未設定",IF(TODAY()&gt;$K67,"期限超過 "&amp;TEXT(TODAY()-$K67,"0")&amp;"日",IF($K67-TODAY()&lt;=3,"期限まで "&amp;TEXT($K67-TODAY(),"0")&amp;"日","未是正 あと"&amp;TEXT($K67-TODAY(),"0")&amp;"日"))))))</f>
        <v/>
      </c>
      <c r="Q67" s="26" t="str">
        <f aca="true">IF(OR($H67="",$O67&lt;&gt;"",$N67&lt;&gt;"",$K67=""),"",$K67-TODAY())</f>
        <v/>
      </c>
      <c r="R67" s="2" t="str">
        <f aca="false">IF($H67="","",IF(AND($B67=パトロール報告書!$C$3,$C67=パトロール報告書!$C$4),COUNTIFS($B$7:$B67,パトロール報告書!$C$3,$C$7:$C67,パトロール報告書!$C$4),""))</f>
        <v/>
      </c>
    </row>
    <row r="68" customFormat="false" ht="15" hidden="false" customHeight="false" outlineLevel="0" collapsed="false">
      <c r="A68" s="19" t="str">
        <f aca="false">IF($H68="","",COUNTA($H$7:$H68))</f>
        <v/>
      </c>
      <c r="B68" s="20"/>
      <c r="C68" s="21"/>
      <c r="D68" s="22"/>
      <c r="E68" s="22"/>
      <c r="F68" s="22"/>
      <c r="G68" s="21"/>
      <c r="H68" s="21"/>
      <c r="I68" s="23"/>
      <c r="J68" s="20"/>
      <c r="K68" s="24" t="str">
        <f aca="false">IF($B68="","",IF($J68&lt;&gt;"",$J68,$B68+IFERROR(VLOOKUP($I68,マスタ!$E$4:$F$6,2,0),7)))</f>
        <v/>
      </c>
      <c r="L68" s="21"/>
      <c r="M68" s="21"/>
      <c r="N68" s="20"/>
      <c r="O68" s="20"/>
      <c r="P68" s="25" t="str">
        <f aca="true">IF($H68="","",IF($O68&lt;&gt;"","確認済み（完了）",IF($N68&lt;&gt;"","是正済み（確認待ち）",IF($K68="","期限が未設定",IF(TODAY()&gt;$K68,"期限超過 "&amp;TEXT(TODAY()-$K68,"0")&amp;"日",IF($K68-TODAY()&lt;=3,"期限まで "&amp;TEXT($K68-TODAY(),"0")&amp;"日","未是正 あと"&amp;TEXT($K68-TODAY(),"0")&amp;"日"))))))</f>
        <v/>
      </c>
      <c r="Q68" s="26" t="str">
        <f aca="true">IF(OR($H68="",$O68&lt;&gt;"",$N68&lt;&gt;"",$K68=""),"",$K68-TODAY())</f>
        <v/>
      </c>
      <c r="R68" s="2" t="str">
        <f aca="false">IF($H68="","",IF(AND($B68=パトロール報告書!$C$3,$C68=パトロール報告書!$C$4),COUNTIFS($B$7:$B68,パトロール報告書!$C$3,$C$7:$C68,パトロール報告書!$C$4),""))</f>
        <v/>
      </c>
    </row>
    <row r="69" customFormat="false" ht="15" hidden="false" customHeight="false" outlineLevel="0" collapsed="false">
      <c r="A69" s="19" t="str">
        <f aca="false">IF($H69="","",COUNTA($H$7:$H69))</f>
        <v/>
      </c>
      <c r="B69" s="20"/>
      <c r="C69" s="21"/>
      <c r="D69" s="22"/>
      <c r="E69" s="22"/>
      <c r="F69" s="22"/>
      <c r="G69" s="21"/>
      <c r="H69" s="21"/>
      <c r="I69" s="23"/>
      <c r="J69" s="20"/>
      <c r="K69" s="24" t="str">
        <f aca="false">IF($B69="","",IF($J69&lt;&gt;"",$J69,$B69+IFERROR(VLOOKUP($I69,マスタ!$E$4:$F$6,2,0),7)))</f>
        <v/>
      </c>
      <c r="L69" s="21"/>
      <c r="M69" s="21"/>
      <c r="N69" s="20"/>
      <c r="O69" s="20"/>
      <c r="P69" s="25" t="str">
        <f aca="true">IF($H69="","",IF($O69&lt;&gt;"","確認済み（完了）",IF($N69&lt;&gt;"","是正済み（確認待ち）",IF($K69="","期限が未設定",IF(TODAY()&gt;$K69,"期限超過 "&amp;TEXT(TODAY()-$K69,"0")&amp;"日",IF($K69-TODAY()&lt;=3,"期限まで "&amp;TEXT($K69-TODAY(),"0")&amp;"日","未是正 あと"&amp;TEXT($K69-TODAY(),"0")&amp;"日"))))))</f>
        <v/>
      </c>
      <c r="Q69" s="26" t="str">
        <f aca="true">IF(OR($H69="",$O69&lt;&gt;"",$N69&lt;&gt;"",$K69=""),"",$K69-TODAY())</f>
        <v/>
      </c>
      <c r="R69" s="2" t="str">
        <f aca="false">IF($H69="","",IF(AND($B69=パトロール報告書!$C$3,$C69=パトロール報告書!$C$4),COUNTIFS($B$7:$B69,パトロール報告書!$C$3,$C$7:$C69,パトロール報告書!$C$4),""))</f>
        <v/>
      </c>
    </row>
    <row r="70" customFormat="false" ht="15" hidden="false" customHeight="false" outlineLevel="0" collapsed="false">
      <c r="A70" s="19" t="str">
        <f aca="false">IF($H70="","",COUNTA($H$7:$H70))</f>
        <v/>
      </c>
      <c r="B70" s="20"/>
      <c r="C70" s="21"/>
      <c r="D70" s="22"/>
      <c r="E70" s="22"/>
      <c r="F70" s="22"/>
      <c r="G70" s="21"/>
      <c r="H70" s="21"/>
      <c r="I70" s="23"/>
      <c r="J70" s="20"/>
      <c r="K70" s="24" t="str">
        <f aca="false">IF($B70="","",IF($J70&lt;&gt;"",$J70,$B70+IFERROR(VLOOKUP($I70,マスタ!$E$4:$F$6,2,0),7)))</f>
        <v/>
      </c>
      <c r="L70" s="21"/>
      <c r="M70" s="21"/>
      <c r="N70" s="20"/>
      <c r="O70" s="20"/>
      <c r="P70" s="25" t="str">
        <f aca="true">IF($H70="","",IF($O70&lt;&gt;"","確認済み（完了）",IF($N70&lt;&gt;"","是正済み（確認待ち）",IF($K70="","期限が未設定",IF(TODAY()&gt;$K70,"期限超過 "&amp;TEXT(TODAY()-$K70,"0")&amp;"日",IF($K70-TODAY()&lt;=3,"期限まで "&amp;TEXT($K70-TODAY(),"0")&amp;"日","未是正 あと"&amp;TEXT($K70-TODAY(),"0")&amp;"日"))))))</f>
        <v/>
      </c>
      <c r="Q70" s="26" t="str">
        <f aca="true">IF(OR($H70="",$O70&lt;&gt;"",$N70&lt;&gt;"",$K70=""),"",$K70-TODAY())</f>
        <v/>
      </c>
      <c r="R70" s="2" t="str">
        <f aca="false">IF($H70="","",IF(AND($B70=パトロール報告書!$C$3,$C70=パトロール報告書!$C$4),COUNTIFS($B$7:$B70,パトロール報告書!$C$3,$C$7:$C70,パトロール報告書!$C$4),""))</f>
        <v/>
      </c>
    </row>
    <row r="71" customFormat="false" ht="15" hidden="false" customHeight="false" outlineLevel="0" collapsed="false">
      <c r="A71" s="19" t="str">
        <f aca="false">IF($H71="","",COUNTA($H$7:$H71))</f>
        <v/>
      </c>
      <c r="B71" s="20"/>
      <c r="C71" s="21"/>
      <c r="D71" s="22"/>
      <c r="E71" s="22"/>
      <c r="F71" s="22"/>
      <c r="G71" s="21"/>
      <c r="H71" s="21"/>
      <c r="I71" s="23"/>
      <c r="J71" s="20"/>
      <c r="K71" s="24" t="str">
        <f aca="false">IF($B71="","",IF($J71&lt;&gt;"",$J71,$B71+IFERROR(VLOOKUP($I71,マスタ!$E$4:$F$6,2,0),7)))</f>
        <v/>
      </c>
      <c r="L71" s="21"/>
      <c r="M71" s="21"/>
      <c r="N71" s="20"/>
      <c r="O71" s="20"/>
      <c r="P71" s="25" t="str">
        <f aca="true">IF($H71="","",IF($O71&lt;&gt;"","確認済み（完了）",IF($N71&lt;&gt;"","是正済み（確認待ち）",IF($K71="","期限が未設定",IF(TODAY()&gt;$K71,"期限超過 "&amp;TEXT(TODAY()-$K71,"0")&amp;"日",IF($K71-TODAY()&lt;=3,"期限まで "&amp;TEXT($K71-TODAY(),"0")&amp;"日","未是正 あと"&amp;TEXT($K71-TODAY(),"0")&amp;"日"))))))</f>
        <v/>
      </c>
      <c r="Q71" s="26" t="str">
        <f aca="true">IF(OR($H71="",$O71&lt;&gt;"",$N71&lt;&gt;"",$K71=""),"",$K71-TODAY())</f>
        <v/>
      </c>
      <c r="R71" s="2" t="str">
        <f aca="false">IF($H71="","",IF(AND($B71=パトロール報告書!$C$3,$C71=パトロール報告書!$C$4),COUNTIFS($B$7:$B71,パトロール報告書!$C$3,$C$7:$C71,パトロール報告書!$C$4),""))</f>
        <v/>
      </c>
    </row>
    <row r="72" customFormat="false" ht="15" hidden="false" customHeight="false" outlineLevel="0" collapsed="false">
      <c r="A72" s="19" t="str">
        <f aca="false">IF($H72="","",COUNTA($H$7:$H72))</f>
        <v/>
      </c>
      <c r="B72" s="20"/>
      <c r="C72" s="21"/>
      <c r="D72" s="22"/>
      <c r="E72" s="22"/>
      <c r="F72" s="22"/>
      <c r="G72" s="21"/>
      <c r="H72" s="21"/>
      <c r="I72" s="23"/>
      <c r="J72" s="20"/>
      <c r="K72" s="24" t="str">
        <f aca="false">IF($B72="","",IF($J72&lt;&gt;"",$J72,$B72+IFERROR(VLOOKUP($I72,マスタ!$E$4:$F$6,2,0),7)))</f>
        <v/>
      </c>
      <c r="L72" s="21"/>
      <c r="M72" s="21"/>
      <c r="N72" s="20"/>
      <c r="O72" s="20"/>
      <c r="P72" s="25" t="str">
        <f aca="true">IF($H72="","",IF($O72&lt;&gt;"","確認済み（完了）",IF($N72&lt;&gt;"","是正済み（確認待ち）",IF($K72="","期限が未設定",IF(TODAY()&gt;$K72,"期限超過 "&amp;TEXT(TODAY()-$K72,"0")&amp;"日",IF($K72-TODAY()&lt;=3,"期限まで "&amp;TEXT($K72-TODAY(),"0")&amp;"日","未是正 あと"&amp;TEXT($K72-TODAY(),"0")&amp;"日"))))))</f>
        <v/>
      </c>
      <c r="Q72" s="26" t="str">
        <f aca="true">IF(OR($H72="",$O72&lt;&gt;"",$N72&lt;&gt;"",$K72=""),"",$K72-TODAY())</f>
        <v/>
      </c>
      <c r="R72" s="2" t="str">
        <f aca="false">IF($H72="","",IF(AND($B72=パトロール報告書!$C$3,$C72=パトロール報告書!$C$4),COUNTIFS($B$7:$B72,パトロール報告書!$C$3,$C$7:$C72,パトロール報告書!$C$4),""))</f>
        <v/>
      </c>
    </row>
    <row r="73" customFormat="false" ht="15" hidden="false" customHeight="false" outlineLevel="0" collapsed="false">
      <c r="A73" s="19" t="str">
        <f aca="false">IF($H73="","",COUNTA($H$7:$H73))</f>
        <v/>
      </c>
      <c r="B73" s="20"/>
      <c r="C73" s="21"/>
      <c r="D73" s="22"/>
      <c r="E73" s="22"/>
      <c r="F73" s="22"/>
      <c r="G73" s="21"/>
      <c r="H73" s="21"/>
      <c r="I73" s="23"/>
      <c r="J73" s="20"/>
      <c r="K73" s="24" t="str">
        <f aca="false">IF($B73="","",IF($J73&lt;&gt;"",$J73,$B73+IFERROR(VLOOKUP($I73,マスタ!$E$4:$F$6,2,0),7)))</f>
        <v/>
      </c>
      <c r="L73" s="21"/>
      <c r="M73" s="21"/>
      <c r="N73" s="20"/>
      <c r="O73" s="20"/>
      <c r="P73" s="25" t="str">
        <f aca="true">IF($H73="","",IF($O73&lt;&gt;"","確認済み（完了）",IF($N73&lt;&gt;"","是正済み（確認待ち）",IF($K73="","期限が未設定",IF(TODAY()&gt;$K73,"期限超過 "&amp;TEXT(TODAY()-$K73,"0")&amp;"日",IF($K73-TODAY()&lt;=3,"期限まで "&amp;TEXT($K73-TODAY(),"0")&amp;"日","未是正 あと"&amp;TEXT($K73-TODAY(),"0")&amp;"日"))))))</f>
        <v/>
      </c>
      <c r="Q73" s="26" t="str">
        <f aca="true">IF(OR($H73="",$O73&lt;&gt;"",$N73&lt;&gt;"",$K73=""),"",$K73-TODAY())</f>
        <v/>
      </c>
      <c r="R73" s="2" t="str">
        <f aca="false">IF($H73="","",IF(AND($B73=パトロール報告書!$C$3,$C73=パトロール報告書!$C$4),COUNTIFS($B$7:$B73,パトロール報告書!$C$3,$C$7:$C73,パトロール報告書!$C$4),""))</f>
        <v/>
      </c>
    </row>
    <row r="74" customFormat="false" ht="15" hidden="false" customHeight="false" outlineLevel="0" collapsed="false">
      <c r="A74" s="19" t="str">
        <f aca="false">IF($H74="","",COUNTA($H$7:$H74))</f>
        <v/>
      </c>
      <c r="B74" s="20"/>
      <c r="C74" s="21"/>
      <c r="D74" s="22"/>
      <c r="E74" s="22"/>
      <c r="F74" s="22"/>
      <c r="G74" s="21"/>
      <c r="H74" s="21"/>
      <c r="I74" s="23"/>
      <c r="J74" s="20"/>
      <c r="K74" s="24" t="str">
        <f aca="false">IF($B74="","",IF($J74&lt;&gt;"",$J74,$B74+IFERROR(VLOOKUP($I74,マスタ!$E$4:$F$6,2,0),7)))</f>
        <v/>
      </c>
      <c r="L74" s="21"/>
      <c r="M74" s="21"/>
      <c r="N74" s="20"/>
      <c r="O74" s="20"/>
      <c r="P74" s="25" t="str">
        <f aca="true">IF($H74="","",IF($O74&lt;&gt;"","確認済み（完了）",IF($N74&lt;&gt;"","是正済み（確認待ち）",IF($K74="","期限が未設定",IF(TODAY()&gt;$K74,"期限超過 "&amp;TEXT(TODAY()-$K74,"0")&amp;"日",IF($K74-TODAY()&lt;=3,"期限まで "&amp;TEXT($K74-TODAY(),"0")&amp;"日","未是正 あと"&amp;TEXT($K74-TODAY(),"0")&amp;"日"))))))</f>
        <v/>
      </c>
      <c r="Q74" s="26" t="str">
        <f aca="true">IF(OR($H74="",$O74&lt;&gt;"",$N74&lt;&gt;"",$K74=""),"",$K74-TODAY())</f>
        <v/>
      </c>
      <c r="R74" s="2" t="str">
        <f aca="false">IF($H74="","",IF(AND($B74=パトロール報告書!$C$3,$C74=パトロール報告書!$C$4),COUNTIFS($B$7:$B74,パトロール報告書!$C$3,$C$7:$C74,パトロール報告書!$C$4),""))</f>
        <v/>
      </c>
    </row>
    <row r="75" customFormat="false" ht="15" hidden="false" customHeight="false" outlineLevel="0" collapsed="false">
      <c r="A75" s="19" t="str">
        <f aca="false">IF($H75="","",COUNTA($H$7:$H75))</f>
        <v/>
      </c>
      <c r="B75" s="20"/>
      <c r="C75" s="21"/>
      <c r="D75" s="22"/>
      <c r="E75" s="22"/>
      <c r="F75" s="22"/>
      <c r="G75" s="21"/>
      <c r="H75" s="21"/>
      <c r="I75" s="23"/>
      <c r="J75" s="20"/>
      <c r="K75" s="24" t="str">
        <f aca="false">IF($B75="","",IF($J75&lt;&gt;"",$J75,$B75+IFERROR(VLOOKUP($I75,マスタ!$E$4:$F$6,2,0),7)))</f>
        <v/>
      </c>
      <c r="L75" s="21"/>
      <c r="M75" s="21"/>
      <c r="N75" s="20"/>
      <c r="O75" s="20"/>
      <c r="P75" s="25" t="str">
        <f aca="true">IF($H75="","",IF($O75&lt;&gt;"","確認済み（完了）",IF($N75&lt;&gt;"","是正済み（確認待ち）",IF($K75="","期限が未設定",IF(TODAY()&gt;$K75,"期限超過 "&amp;TEXT(TODAY()-$K75,"0")&amp;"日",IF($K75-TODAY()&lt;=3,"期限まで "&amp;TEXT($K75-TODAY(),"0")&amp;"日","未是正 あと"&amp;TEXT($K75-TODAY(),"0")&amp;"日"))))))</f>
        <v/>
      </c>
      <c r="Q75" s="26" t="str">
        <f aca="true">IF(OR($H75="",$O75&lt;&gt;"",$N75&lt;&gt;"",$K75=""),"",$K75-TODAY())</f>
        <v/>
      </c>
      <c r="R75" s="2" t="str">
        <f aca="false">IF($H75="","",IF(AND($B75=パトロール報告書!$C$3,$C75=パトロール報告書!$C$4),COUNTIFS($B$7:$B75,パトロール報告書!$C$3,$C$7:$C75,パトロール報告書!$C$4),""))</f>
        <v/>
      </c>
    </row>
    <row r="76" customFormat="false" ht="15" hidden="false" customHeight="false" outlineLevel="0" collapsed="false">
      <c r="A76" s="19" t="str">
        <f aca="false">IF($H76="","",COUNTA($H$7:$H76))</f>
        <v/>
      </c>
      <c r="B76" s="20"/>
      <c r="C76" s="21"/>
      <c r="D76" s="22"/>
      <c r="E76" s="22"/>
      <c r="F76" s="22"/>
      <c r="G76" s="21"/>
      <c r="H76" s="21"/>
      <c r="I76" s="23"/>
      <c r="J76" s="20"/>
      <c r="K76" s="24" t="str">
        <f aca="false">IF($B76="","",IF($J76&lt;&gt;"",$J76,$B76+IFERROR(VLOOKUP($I76,マスタ!$E$4:$F$6,2,0),7)))</f>
        <v/>
      </c>
      <c r="L76" s="21"/>
      <c r="M76" s="21"/>
      <c r="N76" s="20"/>
      <c r="O76" s="20"/>
      <c r="P76" s="25" t="str">
        <f aca="true">IF($H76="","",IF($O76&lt;&gt;"","確認済み（完了）",IF($N76&lt;&gt;"","是正済み（確認待ち）",IF($K76="","期限が未設定",IF(TODAY()&gt;$K76,"期限超過 "&amp;TEXT(TODAY()-$K76,"0")&amp;"日",IF($K76-TODAY()&lt;=3,"期限まで "&amp;TEXT($K76-TODAY(),"0")&amp;"日","未是正 あと"&amp;TEXT($K76-TODAY(),"0")&amp;"日"))))))</f>
        <v/>
      </c>
      <c r="Q76" s="26" t="str">
        <f aca="true">IF(OR($H76="",$O76&lt;&gt;"",$N76&lt;&gt;"",$K76=""),"",$K76-TODAY())</f>
        <v/>
      </c>
      <c r="R76" s="2" t="str">
        <f aca="false">IF($H76="","",IF(AND($B76=パトロール報告書!$C$3,$C76=パトロール報告書!$C$4),COUNTIFS($B$7:$B76,パトロール報告書!$C$3,$C$7:$C76,パトロール報告書!$C$4),""))</f>
        <v/>
      </c>
    </row>
    <row r="77" customFormat="false" ht="15" hidden="false" customHeight="false" outlineLevel="0" collapsed="false">
      <c r="A77" s="19" t="str">
        <f aca="false">IF($H77="","",COUNTA($H$7:$H77))</f>
        <v/>
      </c>
      <c r="B77" s="20"/>
      <c r="C77" s="21"/>
      <c r="D77" s="22"/>
      <c r="E77" s="22"/>
      <c r="F77" s="22"/>
      <c r="G77" s="21"/>
      <c r="H77" s="21"/>
      <c r="I77" s="23"/>
      <c r="J77" s="20"/>
      <c r="K77" s="24" t="str">
        <f aca="false">IF($B77="","",IF($J77&lt;&gt;"",$J77,$B77+IFERROR(VLOOKUP($I77,マスタ!$E$4:$F$6,2,0),7)))</f>
        <v/>
      </c>
      <c r="L77" s="21"/>
      <c r="M77" s="21"/>
      <c r="N77" s="20"/>
      <c r="O77" s="20"/>
      <c r="P77" s="25" t="str">
        <f aca="true">IF($H77="","",IF($O77&lt;&gt;"","確認済み（完了）",IF($N77&lt;&gt;"","是正済み（確認待ち）",IF($K77="","期限が未設定",IF(TODAY()&gt;$K77,"期限超過 "&amp;TEXT(TODAY()-$K77,"0")&amp;"日",IF($K77-TODAY()&lt;=3,"期限まで "&amp;TEXT($K77-TODAY(),"0")&amp;"日","未是正 あと"&amp;TEXT($K77-TODAY(),"0")&amp;"日"))))))</f>
        <v/>
      </c>
      <c r="Q77" s="26" t="str">
        <f aca="true">IF(OR($H77="",$O77&lt;&gt;"",$N77&lt;&gt;"",$K77=""),"",$K77-TODAY())</f>
        <v/>
      </c>
      <c r="R77" s="2" t="str">
        <f aca="false">IF($H77="","",IF(AND($B77=パトロール報告書!$C$3,$C77=パトロール報告書!$C$4),COUNTIFS($B$7:$B77,パトロール報告書!$C$3,$C$7:$C77,パトロール報告書!$C$4),""))</f>
        <v/>
      </c>
    </row>
    <row r="78" customFormat="false" ht="15" hidden="false" customHeight="false" outlineLevel="0" collapsed="false">
      <c r="A78" s="19" t="str">
        <f aca="false">IF($H78="","",COUNTA($H$7:$H78))</f>
        <v/>
      </c>
      <c r="B78" s="20"/>
      <c r="C78" s="21"/>
      <c r="D78" s="22"/>
      <c r="E78" s="22"/>
      <c r="F78" s="22"/>
      <c r="G78" s="21"/>
      <c r="H78" s="21"/>
      <c r="I78" s="23"/>
      <c r="J78" s="20"/>
      <c r="K78" s="24" t="str">
        <f aca="false">IF($B78="","",IF($J78&lt;&gt;"",$J78,$B78+IFERROR(VLOOKUP($I78,マスタ!$E$4:$F$6,2,0),7)))</f>
        <v/>
      </c>
      <c r="L78" s="21"/>
      <c r="M78" s="21"/>
      <c r="N78" s="20"/>
      <c r="O78" s="20"/>
      <c r="P78" s="25" t="str">
        <f aca="true">IF($H78="","",IF($O78&lt;&gt;"","確認済み（完了）",IF($N78&lt;&gt;"","是正済み（確認待ち）",IF($K78="","期限が未設定",IF(TODAY()&gt;$K78,"期限超過 "&amp;TEXT(TODAY()-$K78,"0")&amp;"日",IF($K78-TODAY()&lt;=3,"期限まで "&amp;TEXT($K78-TODAY(),"0")&amp;"日","未是正 あと"&amp;TEXT($K78-TODAY(),"0")&amp;"日"))))))</f>
        <v/>
      </c>
      <c r="Q78" s="26" t="str">
        <f aca="true">IF(OR($H78="",$O78&lt;&gt;"",$N78&lt;&gt;"",$K78=""),"",$K78-TODAY())</f>
        <v/>
      </c>
      <c r="R78" s="2" t="str">
        <f aca="false">IF($H78="","",IF(AND($B78=パトロール報告書!$C$3,$C78=パトロール報告書!$C$4),COUNTIFS($B$7:$B78,パトロール報告書!$C$3,$C$7:$C78,パトロール報告書!$C$4),""))</f>
        <v/>
      </c>
    </row>
    <row r="79" customFormat="false" ht="15" hidden="false" customHeight="false" outlineLevel="0" collapsed="false">
      <c r="A79" s="19" t="str">
        <f aca="false">IF($H79="","",COUNTA($H$7:$H79))</f>
        <v/>
      </c>
      <c r="B79" s="20"/>
      <c r="C79" s="21"/>
      <c r="D79" s="22"/>
      <c r="E79" s="22"/>
      <c r="F79" s="22"/>
      <c r="G79" s="21"/>
      <c r="H79" s="21"/>
      <c r="I79" s="23"/>
      <c r="J79" s="20"/>
      <c r="K79" s="24" t="str">
        <f aca="false">IF($B79="","",IF($J79&lt;&gt;"",$J79,$B79+IFERROR(VLOOKUP($I79,マスタ!$E$4:$F$6,2,0),7)))</f>
        <v/>
      </c>
      <c r="L79" s="21"/>
      <c r="M79" s="21"/>
      <c r="N79" s="20"/>
      <c r="O79" s="20"/>
      <c r="P79" s="25" t="str">
        <f aca="true">IF($H79="","",IF($O79&lt;&gt;"","確認済み（完了）",IF($N79&lt;&gt;"","是正済み（確認待ち）",IF($K79="","期限が未設定",IF(TODAY()&gt;$K79,"期限超過 "&amp;TEXT(TODAY()-$K79,"0")&amp;"日",IF($K79-TODAY()&lt;=3,"期限まで "&amp;TEXT($K79-TODAY(),"0")&amp;"日","未是正 あと"&amp;TEXT($K79-TODAY(),"0")&amp;"日"))))))</f>
        <v/>
      </c>
      <c r="Q79" s="26" t="str">
        <f aca="true">IF(OR($H79="",$O79&lt;&gt;"",$N79&lt;&gt;"",$K79=""),"",$K79-TODAY())</f>
        <v/>
      </c>
      <c r="R79" s="2" t="str">
        <f aca="false">IF($H79="","",IF(AND($B79=パトロール報告書!$C$3,$C79=パトロール報告書!$C$4),COUNTIFS($B$7:$B79,パトロール報告書!$C$3,$C$7:$C79,パトロール報告書!$C$4),""))</f>
        <v/>
      </c>
    </row>
    <row r="80" customFormat="false" ht="15" hidden="false" customHeight="false" outlineLevel="0" collapsed="false">
      <c r="A80" s="19" t="str">
        <f aca="false">IF($H80="","",COUNTA($H$7:$H80))</f>
        <v/>
      </c>
      <c r="B80" s="20"/>
      <c r="C80" s="21"/>
      <c r="D80" s="22"/>
      <c r="E80" s="22"/>
      <c r="F80" s="22"/>
      <c r="G80" s="21"/>
      <c r="H80" s="21"/>
      <c r="I80" s="23"/>
      <c r="J80" s="20"/>
      <c r="K80" s="24" t="str">
        <f aca="false">IF($B80="","",IF($J80&lt;&gt;"",$J80,$B80+IFERROR(VLOOKUP($I80,マスタ!$E$4:$F$6,2,0),7)))</f>
        <v/>
      </c>
      <c r="L80" s="21"/>
      <c r="M80" s="21"/>
      <c r="N80" s="20"/>
      <c r="O80" s="20"/>
      <c r="P80" s="25" t="str">
        <f aca="true">IF($H80="","",IF($O80&lt;&gt;"","確認済み（完了）",IF($N80&lt;&gt;"","是正済み（確認待ち）",IF($K80="","期限が未設定",IF(TODAY()&gt;$K80,"期限超過 "&amp;TEXT(TODAY()-$K80,"0")&amp;"日",IF($K80-TODAY()&lt;=3,"期限まで "&amp;TEXT($K80-TODAY(),"0")&amp;"日","未是正 あと"&amp;TEXT($K80-TODAY(),"0")&amp;"日"))))))</f>
        <v/>
      </c>
      <c r="Q80" s="26" t="str">
        <f aca="true">IF(OR($H80="",$O80&lt;&gt;"",$N80&lt;&gt;"",$K80=""),"",$K80-TODAY())</f>
        <v/>
      </c>
      <c r="R80" s="2" t="str">
        <f aca="false">IF($H80="","",IF(AND($B80=パトロール報告書!$C$3,$C80=パトロール報告書!$C$4),COUNTIFS($B$7:$B80,パトロール報告書!$C$3,$C$7:$C80,パトロール報告書!$C$4),""))</f>
        <v/>
      </c>
    </row>
    <row r="81" customFormat="false" ht="15" hidden="false" customHeight="false" outlineLevel="0" collapsed="false">
      <c r="A81" s="19" t="str">
        <f aca="false">IF($H81="","",COUNTA($H$7:$H81))</f>
        <v/>
      </c>
      <c r="B81" s="20"/>
      <c r="C81" s="21"/>
      <c r="D81" s="22"/>
      <c r="E81" s="22"/>
      <c r="F81" s="22"/>
      <c r="G81" s="21"/>
      <c r="H81" s="21"/>
      <c r="I81" s="23"/>
      <c r="J81" s="20"/>
      <c r="K81" s="24" t="str">
        <f aca="false">IF($B81="","",IF($J81&lt;&gt;"",$J81,$B81+IFERROR(VLOOKUP($I81,マスタ!$E$4:$F$6,2,0),7)))</f>
        <v/>
      </c>
      <c r="L81" s="21"/>
      <c r="M81" s="21"/>
      <c r="N81" s="20"/>
      <c r="O81" s="20"/>
      <c r="P81" s="25" t="str">
        <f aca="true">IF($H81="","",IF($O81&lt;&gt;"","確認済み（完了）",IF($N81&lt;&gt;"","是正済み（確認待ち）",IF($K81="","期限が未設定",IF(TODAY()&gt;$K81,"期限超過 "&amp;TEXT(TODAY()-$K81,"0")&amp;"日",IF($K81-TODAY()&lt;=3,"期限まで "&amp;TEXT($K81-TODAY(),"0")&amp;"日","未是正 あと"&amp;TEXT($K81-TODAY(),"0")&amp;"日"))))))</f>
        <v/>
      </c>
      <c r="Q81" s="26" t="str">
        <f aca="true">IF(OR($H81="",$O81&lt;&gt;"",$N81&lt;&gt;"",$K81=""),"",$K81-TODAY())</f>
        <v/>
      </c>
      <c r="R81" s="2" t="str">
        <f aca="false">IF($H81="","",IF(AND($B81=パトロール報告書!$C$3,$C81=パトロール報告書!$C$4),COUNTIFS($B$7:$B81,パトロール報告書!$C$3,$C$7:$C81,パトロール報告書!$C$4),""))</f>
        <v/>
      </c>
    </row>
    <row r="82" customFormat="false" ht="15" hidden="false" customHeight="false" outlineLevel="0" collapsed="false">
      <c r="A82" s="19" t="str">
        <f aca="false">IF($H82="","",COUNTA($H$7:$H82))</f>
        <v/>
      </c>
      <c r="B82" s="20"/>
      <c r="C82" s="21"/>
      <c r="D82" s="22"/>
      <c r="E82" s="22"/>
      <c r="F82" s="22"/>
      <c r="G82" s="21"/>
      <c r="H82" s="21"/>
      <c r="I82" s="23"/>
      <c r="J82" s="20"/>
      <c r="K82" s="24" t="str">
        <f aca="false">IF($B82="","",IF($J82&lt;&gt;"",$J82,$B82+IFERROR(VLOOKUP($I82,マスタ!$E$4:$F$6,2,0),7)))</f>
        <v/>
      </c>
      <c r="L82" s="21"/>
      <c r="M82" s="21"/>
      <c r="N82" s="20"/>
      <c r="O82" s="20"/>
      <c r="P82" s="25" t="str">
        <f aca="true">IF($H82="","",IF($O82&lt;&gt;"","確認済み（完了）",IF($N82&lt;&gt;"","是正済み（確認待ち）",IF($K82="","期限が未設定",IF(TODAY()&gt;$K82,"期限超過 "&amp;TEXT(TODAY()-$K82,"0")&amp;"日",IF($K82-TODAY()&lt;=3,"期限まで "&amp;TEXT($K82-TODAY(),"0")&amp;"日","未是正 あと"&amp;TEXT($K82-TODAY(),"0")&amp;"日"))))))</f>
        <v/>
      </c>
      <c r="Q82" s="26" t="str">
        <f aca="true">IF(OR($H82="",$O82&lt;&gt;"",$N82&lt;&gt;"",$K82=""),"",$K82-TODAY())</f>
        <v/>
      </c>
      <c r="R82" s="2" t="str">
        <f aca="false">IF($H82="","",IF(AND($B82=パトロール報告書!$C$3,$C82=パトロール報告書!$C$4),COUNTIFS($B$7:$B82,パトロール報告書!$C$3,$C$7:$C82,パトロール報告書!$C$4),""))</f>
        <v/>
      </c>
    </row>
    <row r="83" customFormat="false" ht="15" hidden="false" customHeight="false" outlineLevel="0" collapsed="false">
      <c r="A83" s="19" t="str">
        <f aca="false">IF($H83="","",COUNTA($H$7:$H83))</f>
        <v/>
      </c>
      <c r="B83" s="20"/>
      <c r="C83" s="21"/>
      <c r="D83" s="22"/>
      <c r="E83" s="22"/>
      <c r="F83" s="22"/>
      <c r="G83" s="21"/>
      <c r="H83" s="21"/>
      <c r="I83" s="23"/>
      <c r="J83" s="20"/>
      <c r="K83" s="24" t="str">
        <f aca="false">IF($B83="","",IF($J83&lt;&gt;"",$J83,$B83+IFERROR(VLOOKUP($I83,マスタ!$E$4:$F$6,2,0),7)))</f>
        <v/>
      </c>
      <c r="L83" s="21"/>
      <c r="M83" s="21"/>
      <c r="N83" s="20"/>
      <c r="O83" s="20"/>
      <c r="P83" s="25" t="str">
        <f aca="true">IF($H83="","",IF($O83&lt;&gt;"","確認済み（完了）",IF($N83&lt;&gt;"","是正済み（確認待ち）",IF($K83="","期限が未設定",IF(TODAY()&gt;$K83,"期限超過 "&amp;TEXT(TODAY()-$K83,"0")&amp;"日",IF($K83-TODAY()&lt;=3,"期限まで "&amp;TEXT($K83-TODAY(),"0")&amp;"日","未是正 あと"&amp;TEXT($K83-TODAY(),"0")&amp;"日"))))))</f>
        <v/>
      </c>
      <c r="Q83" s="26" t="str">
        <f aca="true">IF(OR($H83="",$O83&lt;&gt;"",$N83&lt;&gt;"",$K83=""),"",$K83-TODAY())</f>
        <v/>
      </c>
      <c r="R83" s="2" t="str">
        <f aca="false">IF($H83="","",IF(AND($B83=パトロール報告書!$C$3,$C83=パトロール報告書!$C$4),COUNTIFS($B$7:$B83,パトロール報告書!$C$3,$C$7:$C83,パトロール報告書!$C$4),""))</f>
        <v/>
      </c>
    </row>
    <row r="84" customFormat="false" ht="15" hidden="false" customHeight="false" outlineLevel="0" collapsed="false">
      <c r="A84" s="19" t="str">
        <f aca="false">IF($H84="","",COUNTA($H$7:$H84))</f>
        <v/>
      </c>
      <c r="B84" s="20"/>
      <c r="C84" s="21"/>
      <c r="D84" s="22"/>
      <c r="E84" s="22"/>
      <c r="F84" s="22"/>
      <c r="G84" s="21"/>
      <c r="H84" s="21"/>
      <c r="I84" s="23"/>
      <c r="J84" s="20"/>
      <c r="K84" s="24" t="str">
        <f aca="false">IF($B84="","",IF($J84&lt;&gt;"",$J84,$B84+IFERROR(VLOOKUP($I84,マスタ!$E$4:$F$6,2,0),7)))</f>
        <v/>
      </c>
      <c r="L84" s="21"/>
      <c r="M84" s="21"/>
      <c r="N84" s="20"/>
      <c r="O84" s="20"/>
      <c r="P84" s="25" t="str">
        <f aca="true">IF($H84="","",IF($O84&lt;&gt;"","確認済み（完了）",IF($N84&lt;&gt;"","是正済み（確認待ち）",IF($K84="","期限が未設定",IF(TODAY()&gt;$K84,"期限超過 "&amp;TEXT(TODAY()-$K84,"0")&amp;"日",IF($K84-TODAY()&lt;=3,"期限まで "&amp;TEXT($K84-TODAY(),"0")&amp;"日","未是正 あと"&amp;TEXT($K84-TODAY(),"0")&amp;"日"))))))</f>
        <v/>
      </c>
      <c r="Q84" s="26" t="str">
        <f aca="true">IF(OR($H84="",$O84&lt;&gt;"",$N84&lt;&gt;"",$K84=""),"",$K84-TODAY())</f>
        <v/>
      </c>
      <c r="R84" s="2" t="str">
        <f aca="false">IF($H84="","",IF(AND($B84=パトロール報告書!$C$3,$C84=パトロール報告書!$C$4),COUNTIFS($B$7:$B84,パトロール報告書!$C$3,$C$7:$C84,パトロール報告書!$C$4),""))</f>
        <v/>
      </c>
    </row>
    <row r="85" customFormat="false" ht="15" hidden="false" customHeight="false" outlineLevel="0" collapsed="false">
      <c r="A85" s="19" t="str">
        <f aca="false">IF($H85="","",COUNTA($H$7:$H85))</f>
        <v/>
      </c>
      <c r="B85" s="20"/>
      <c r="C85" s="21"/>
      <c r="D85" s="22"/>
      <c r="E85" s="22"/>
      <c r="F85" s="22"/>
      <c r="G85" s="21"/>
      <c r="H85" s="21"/>
      <c r="I85" s="23"/>
      <c r="J85" s="20"/>
      <c r="K85" s="24" t="str">
        <f aca="false">IF($B85="","",IF($J85&lt;&gt;"",$J85,$B85+IFERROR(VLOOKUP($I85,マスタ!$E$4:$F$6,2,0),7)))</f>
        <v/>
      </c>
      <c r="L85" s="21"/>
      <c r="M85" s="21"/>
      <c r="N85" s="20"/>
      <c r="O85" s="20"/>
      <c r="P85" s="25" t="str">
        <f aca="true">IF($H85="","",IF($O85&lt;&gt;"","確認済み（完了）",IF($N85&lt;&gt;"","是正済み（確認待ち）",IF($K85="","期限が未設定",IF(TODAY()&gt;$K85,"期限超過 "&amp;TEXT(TODAY()-$K85,"0")&amp;"日",IF($K85-TODAY()&lt;=3,"期限まで "&amp;TEXT($K85-TODAY(),"0")&amp;"日","未是正 あと"&amp;TEXT($K85-TODAY(),"0")&amp;"日"))))))</f>
        <v/>
      </c>
      <c r="Q85" s="26" t="str">
        <f aca="true">IF(OR($H85="",$O85&lt;&gt;"",$N85&lt;&gt;"",$K85=""),"",$K85-TODAY())</f>
        <v/>
      </c>
      <c r="R85" s="2" t="str">
        <f aca="false">IF($H85="","",IF(AND($B85=パトロール報告書!$C$3,$C85=パトロール報告書!$C$4),COUNTIFS($B$7:$B85,パトロール報告書!$C$3,$C$7:$C85,パトロール報告書!$C$4),""))</f>
        <v/>
      </c>
    </row>
    <row r="86" customFormat="false" ht="15" hidden="false" customHeight="false" outlineLevel="0" collapsed="false">
      <c r="A86" s="19" t="str">
        <f aca="false">IF($H86="","",COUNTA($H$7:$H86))</f>
        <v/>
      </c>
      <c r="B86" s="20"/>
      <c r="C86" s="21"/>
      <c r="D86" s="22"/>
      <c r="E86" s="22"/>
      <c r="F86" s="22"/>
      <c r="G86" s="21"/>
      <c r="H86" s="21"/>
      <c r="I86" s="23"/>
      <c r="J86" s="20"/>
      <c r="K86" s="24" t="str">
        <f aca="false">IF($B86="","",IF($J86&lt;&gt;"",$J86,$B86+IFERROR(VLOOKUP($I86,マスタ!$E$4:$F$6,2,0),7)))</f>
        <v/>
      </c>
      <c r="L86" s="21"/>
      <c r="M86" s="21"/>
      <c r="N86" s="20"/>
      <c r="O86" s="20"/>
      <c r="P86" s="25" t="str">
        <f aca="true">IF($H86="","",IF($O86&lt;&gt;"","確認済み（完了）",IF($N86&lt;&gt;"","是正済み（確認待ち）",IF($K86="","期限が未設定",IF(TODAY()&gt;$K86,"期限超過 "&amp;TEXT(TODAY()-$K86,"0")&amp;"日",IF($K86-TODAY()&lt;=3,"期限まで "&amp;TEXT($K86-TODAY(),"0")&amp;"日","未是正 あと"&amp;TEXT($K86-TODAY(),"0")&amp;"日"))))))</f>
        <v/>
      </c>
      <c r="Q86" s="26" t="str">
        <f aca="true">IF(OR($H86="",$O86&lt;&gt;"",$N86&lt;&gt;"",$K86=""),"",$K86-TODAY())</f>
        <v/>
      </c>
      <c r="R86" s="2" t="str">
        <f aca="false">IF($H86="","",IF(AND($B86=パトロール報告書!$C$3,$C86=パトロール報告書!$C$4),COUNTIFS($B$7:$B86,パトロール報告書!$C$3,$C$7:$C86,パトロール報告書!$C$4),""))</f>
        <v/>
      </c>
    </row>
    <row r="87" customFormat="false" ht="15" hidden="false" customHeight="false" outlineLevel="0" collapsed="false">
      <c r="A87" s="19" t="str">
        <f aca="false">IF($H87="","",COUNTA($H$7:$H87))</f>
        <v/>
      </c>
      <c r="B87" s="20"/>
      <c r="C87" s="21"/>
      <c r="D87" s="22"/>
      <c r="E87" s="22"/>
      <c r="F87" s="22"/>
      <c r="G87" s="21"/>
      <c r="H87" s="21"/>
      <c r="I87" s="23"/>
      <c r="J87" s="20"/>
      <c r="K87" s="24" t="str">
        <f aca="false">IF($B87="","",IF($J87&lt;&gt;"",$J87,$B87+IFERROR(VLOOKUP($I87,マスタ!$E$4:$F$6,2,0),7)))</f>
        <v/>
      </c>
      <c r="L87" s="21"/>
      <c r="M87" s="21"/>
      <c r="N87" s="20"/>
      <c r="O87" s="20"/>
      <c r="P87" s="25" t="str">
        <f aca="true">IF($H87="","",IF($O87&lt;&gt;"","確認済み（完了）",IF($N87&lt;&gt;"","是正済み（確認待ち）",IF($K87="","期限が未設定",IF(TODAY()&gt;$K87,"期限超過 "&amp;TEXT(TODAY()-$K87,"0")&amp;"日",IF($K87-TODAY()&lt;=3,"期限まで "&amp;TEXT($K87-TODAY(),"0")&amp;"日","未是正 あと"&amp;TEXT($K87-TODAY(),"0")&amp;"日"))))))</f>
        <v/>
      </c>
      <c r="Q87" s="26" t="str">
        <f aca="true">IF(OR($H87="",$O87&lt;&gt;"",$N87&lt;&gt;"",$K87=""),"",$K87-TODAY())</f>
        <v/>
      </c>
      <c r="R87" s="2" t="str">
        <f aca="false">IF($H87="","",IF(AND($B87=パトロール報告書!$C$3,$C87=パトロール報告書!$C$4),COUNTIFS($B$7:$B87,パトロール報告書!$C$3,$C$7:$C87,パトロール報告書!$C$4),""))</f>
        <v/>
      </c>
    </row>
    <row r="88" customFormat="false" ht="15" hidden="false" customHeight="false" outlineLevel="0" collapsed="false">
      <c r="A88" s="19" t="str">
        <f aca="false">IF($H88="","",COUNTA($H$7:$H88))</f>
        <v/>
      </c>
      <c r="B88" s="20"/>
      <c r="C88" s="21"/>
      <c r="D88" s="22"/>
      <c r="E88" s="22"/>
      <c r="F88" s="22"/>
      <c r="G88" s="21"/>
      <c r="H88" s="21"/>
      <c r="I88" s="23"/>
      <c r="J88" s="20"/>
      <c r="K88" s="24" t="str">
        <f aca="false">IF($B88="","",IF($J88&lt;&gt;"",$J88,$B88+IFERROR(VLOOKUP($I88,マスタ!$E$4:$F$6,2,0),7)))</f>
        <v/>
      </c>
      <c r="L88" s="21"/>
      <c r="M88" s="21"/>
      <c r="N88" s="20"/>
      <c r="O88" s="20"/>
      <c r="P88" s="25" t="str">
        <f aca="true">IF($H88="","",IF($O88&lt;&gt;"","確認済み（完了）",IF($N88&lt;&gt;"","是正済み（確認待ち）",IF($K88="","期限が未設定",IF(TODAY()&gt;$K88,"期限超過 "&amp;TEXT(TODAY()-$K88,"0")&amp;"日",IF($K88-TODAY()&lt;=3,"期限まで "&amp;TEXT($K88-TODAY(),"0")&amp;"日","未是正 あと"&amp;TEXT($K88-TODAY(),"0")&amp;"日"))))))</f>
        <v/>
      </c>
      <c r="Q88" s="26" t="str">
        <f aca="true">IF(OR($H88="",$O88&lt;&gt;"",$N88&lt;&gt;"",$K88=""),"",$K88-TODAY())</f>
        <v/>
      </c>
      <c r="R88" s="2" t="str">
        <f aca="false">IF($H88="","",IF(AND($B88=パトロール報告書!$C$3,$C88=パトロール報告書!$C$4),COUNTIFS($B$7:$B88,パトロール報告書!$C$3,$C$7:$C88,パトロール報告書!$C$4),""))</f>
        <v/>
      </c>
    </row>
    <row r="89" customFormat="false" ht="15" hidden="false" customHeight="false" outlineLevel="0" collapsed="false">
      <c r="A89" s="19" t="str">
        <f aca="false">IF($H89="","",COUNTA($H$7:$H89))</f>
        <v/>
      </c>
      <c r="B89" s="20"/>
      <c r="C89" s="21"/>
      <c r="D89" s="22"/>
      <c r="E89" s="22"/>
      <c r="F89" s="22"/>
      <c r="G89" s="21"/>
      <c r="H89" s="21"/>
      <c r="I89" s="23"/>
      <c r="J89" s="20"/>
      <c r="K89" s="24" t="str">
        <f aca="false">IF($B89="","",IF($J89&lt;&gt;"",$J89,$B89+IFERROR(VLOOKUP($I89,マスタ!$E$4:$F$6,2,0),7)))</f>
        <v/>
      </c>
      <c r="L89" s="21"/>
      <c r="M89" s="21"/>
      <c r="N89" s="20"/>
      <c r="O89" s="20"/>
      <c r="P89" s="25" t="str">
        <f aca="true">IF($H89="","",IF($O89&lt;&gt;"","確認済み（完了）",IF($N89&lt;&gt;"","是正済み（確認待ち）",IF($K89="","期限が未設定",IF(TODAY()&gt;$K89,"期限超過 "&amp;TEXT(TODAY()-$K89,"0")&amp;"日",IF($K89-TODAY()&lt;=3,"期限まで "&amp;TEXT($K89-TODAY(),"0")&amp;"日","未是正 あと"&amp;TEXT($K89-TODAY(),"0")&amp;"日"))))))</f>
        <v/>
      </c>
      <c r="Q89" s="26" t="str">
        <f aca="true">IF(OR($H89="",$O89&lt;&gt;"",$N89&lt;&gt;"",$K89=""),"",$K89-TODAY())</f>
        <v/>
      </c>
      <c r="R89" s="2" t="str">
        <f aca="false">IF($H89="","",IF(AND($B89=パトロール報告書!$C$3,$C89=パトロール報告書!$C$4),COUNTIFS($B$7:$B89,パトロール報告書!$C$3,$C$7:$C89,パトロール報告書!$C$4),""))</f>
        <v/>
      </c>
    </row>
    <row r="90" customFormat="false" ht="15" hidden="false" customHeight="false" outlineLevel="0" collapsed="false">
      <c r="A90" s="19" t="str">
        <f aca="false">IF($H90="","",COUNTA($H$7:$H90))</f>
        <v/>
      </c>
      <c r="B90" s="20"/>
      <c r="C90" s="21"/>
      <c r="D90" s="22"/>
      <c r="E90" s="22"/>
      <c r="F90" s="22"/>
      <c r="G90" s="21"/>
      <c r="H90" s="21"/>
      <c r="I90" s="23"/>
      <c r="J90" s="20"/>
      <c r="K90" s="24" t="str">
        <f aca="false">IF($B90="","",IF($J90&lt;&gt;"",$J90,$B90+IFERROR(VLOOKUP($I90,マスタ!$E$4:$F$6,2,0),7)))</f>
        <v/>
      </c>
      <c r="L90" s="21"/>
      <c r="M90" s="21"/>
      <c r="N90" s="20"/>
      <c r="O90" s="20"/>
      <c r="P90" s="25" t="str">
        <f aca="true">IF($H90="","",IF($O90&lt;&gt;"","確認済み（完了）",IF($N90&lt;&gt;"","是正済み（確認待ち）",IF($K90="","期限が未設定",IF(TODAY()&gt;$K90,"期限超過 "&amp;TEXT(TODAY()-$K90,"0")&amp;"日",IF($K90-TODAY()&lt;=3,"期限まで "&amp;TEXT($K90-TODAY(),"0")&amp;"日","未是正 あと"&amp;TEXT($K90-TODAY(),"0")&amp;"日"))))))</f>
        <v/>
      </c>
      <c r="Q90" s="26" t="str">
        <f aca="true">IF(OR($H90="",$O90&lt;&gt;"",$N90&lt;&gt;"",$K90=""),"",$K90-TODAY())</f>
        <v/>
      </c>
      <c r="R90" s="2" t="str">
        <f aca="false">IF($H90="","",IF(AND($B90=パトロール報告書!$C$3,$C90=パトロール報告書!$C$4),COUNTIFS($B$7:$B90,パトロール報告書!$C$3,$C$7:$C90,パトロール報告書!$C$4),""))</f>
        <v/>
      </c>
    </row>
    <row r="91" customFormat="false" ht="15" hidden="false" customHeight="false" outlineLevel="0" collapsed="false">
      <c r="A91" s="19" t="str">
        <f aca="false">IF($H91="","",COUNTA($H$7:$H91))</f>
        <v/>
      </c>
      <c r="B91" s="20"/>
      <c r="C91" s="21"/>
      <c r="D91" s="22"/>
      <c r="E91" s="22"/>
      <c r="F91" s="22"/>
      <c r="G91" s="21"/>
      <c r="H91" s="21"/>
      <c r="I91" s="23"/>
      <c r="J91" s="20"/>
      <c r="K91" s="24" t="str">
        <f aca="false">IF($B91="","",IF($J91&lt;&gt;"",$J91,$B91+IFERROR(VLOOKUP($I91,マスタ!$E$4:$F$6,2,0),7)))</f>
        <v/>
      </c>
      <c r="L91" s="21"/>
      <c r="M91" s="21"/>
      <c r="N91" s="20"/>
      <c r="O91" s="20"/>
      <c r="P91" s="25" t="str">
        <f aca="true">IF($H91="","",IF($O91&lt;&gt;"","確認済み（完了）",IF($N91&lt;&gt;"","是正済み（確認待ち）",IF($K91="","期限が未設定",IF(TODAY()&gt;$K91,"期限超過 "&amp;TEXT(TODAY()-$K91,"0")&amp;"日",IF($K91-TODAY()&lt;=3,"期限まで "&amp;TEXT($K91-TODAY(),"0")&amp;"日","未是正 あと"&amp;TEXT($K91-TODAY(),"0")&amp;"日"))))))</f>
        <v/>
      </c>
      <c r="Q91" s="26" t="str">
        <f aca="true">IF(OR($H91="",$O91&lt;&gt;"",$N91&lt;&gt;"",$K91=""),"",$K91-TODAY())</f>
        <v/>
      </c>
      <c r="R91" s="2" t="str">
        <f aca="false">IF($H91="","",IF(AND($B91=パトロール報告書!$C$3,$C91=パトロール報告書!$C$4),COUNTIFS($B$7:$B91,パトロール報告書!$C$3,$C$7:$C91,パトロール報告書!$C$4),""))</f>
        <v/>
      </c>
    </row>
    <row r="92" customFormat="false" ht="15" hidden="false" customHeight="false" outlineLevel="0" collapsed="false">
      <c r="A92" s="19" t="str">
        <f aca="false">IF($H92="","",COUNTA($H$7:$H92))</f>
        <v/>
      </c>
      <c r="B92" s="20"/>
      <c r="C92" s="21"/>
      <c r="D92" s="22"/>
      <c r="E92" s="22"/>
      <c r="F92" s="22"/>
      <c r="G92" s="21"/>
      <c r="H92" s="21"/>
      <c r="I92" s="23"/>
      <c r="J92" s="20"/>
      <c r="K92" s="24" t="str">
        <f aca="false">IF($B92="","",IF($J92&lt;&gt;"",$J92,$B92+IFERROR(VLOOKUP($I92,マスタ!$E$4:$F$6,2,0),7)))</f>
        <v/>
      </c>
      <c r="L92" s="21"/>
      <c r="M92" s="21"/>
      <c r="N92" s="20"/>
      <c r="O92" s="20"/>
      <c r="P92" s="25" t="str">
        <f aca="true">IF($H92="","",IF($O92&lt;&gt;"","確認済み（完了）",IF($N92&lt;&gt;"","是正済み（確認待ち）",IF($K92="","期限が未設定",IF(TODAY()&gt;$K92,"期限超過 "&amp;TEXT(TODAY()-$K92,"0")&amp;"日",IF($K92-TODAY()&lt;=3,"期限まで "&amp;TEXT($K92-TODAY(),"0")&amp;"日","未是正 あと"&amp;TEXT($K92-TODAY(),"0")&amp;"日"))))))</f>
        <v/>
      </c>
      <c r="Q92" s="26" t="str">
        <f aca="true">IF(OR($H92="",$O92&lt;&gt;"",$N92&lt;&gt;"",$K92=""),"",$K92-TODAY())</f>
        <v/>
      </c>
      <c r="R92" s="2" t="str">
        <f aca="false">IF($H92="","",IF(AND($B92=パトロール報告書!$C$3,$C92=パトロール報告書!$C$4),COUNTIFS($B$7:$B92,パトロール報告書!$C$3,$C$7:$C92,パトロール報告書!$C$4),""))</f>
        <v/>
      </c>
    </row>
    <row r="93" customFormat="false" ht="15" hidden="false" customHeight="false" outlineLevel="0" collapsed="false">
      <c r="A93" s="19" t="str">
        <f aca="false">IF($H93="","",COUNTA($H$7:$H93))</f>
        <v/>
      </c>
      <c r="B93" s="20"/>
      <c r="C93" s="21"/>
      <c r="D93" s="22"/>
      <c r="E93" s="22"/>
      <c r="F93" s="22"/>
      <c r="G93" s="21"/>
      <c r="H93" s="21"/>
      <c r="I93" s="23"/>
      <c r="J93" s="20"/>
      <c r="K93" s="24" t="str">
        <f aca="false">IF($B93="","",IF($J93&lt;&gt;"",$J93,$B93+IFERROR(VLOOKUP($I93,マスタ!$E$4:$F$6,2,0),7)))</f>
        <v/>
      </c>
      <c r="L93" s="21"/>
      <c r="M93" s="21"/>
      <c r="N93" s="20"/>
      <c r="O93" s="20"/>
      <c r="P93" s="25" t="str">
        <f aca="true">IF($H93="","",IF($O93&lt;&gt;"","確認済み（完了）",IF($N93&lt;&gt;"","是正済み（確認待ち）",IF($K93="","期限が未設定",IF(TODAY()&gt;$K93,"期限超過 "&amp;TEXT(TODAY()-$K93,"0")&amp;"日",IF($K93-TODAY()&lt;=3,"期限まで "&amp;TEXT($K93-TODAY(),"0")&amp;"日","未是正 あと"&amp;TEXT($K93-TODAY(),"0")&amp;"日"))))))</f>
        <v/>
      </c>
      <c r="Q93" s="26" t="str">
        <f aca="true">IF(OR($H93="",$O93&lt;&gt;"",$N93&lt;&gt;"",$K93=""),"",$K93-TODAY())</f>
        <v/>
      </c>
      <c r="R93" s="2" t="str">
        <f aca="false">IF($H93="","",IF(AND($B93=パトロール報告書!$C$3,$C93=パトロール報告書!$C$4),COUNTIFS($B$7:$B93,パトロール報告書!$C$3,$C$7:$C93,パトロール報告書!$C$4),""))</f>
        <v/>
      </c>
    </row>
    <row r="94" customFormat="false" ht="15" hidden="false" customHeight="false" outlineLevel="0" collapsed="false">
      <c r="A94" s="19" t="str">
        <f aca="false">IF($H94="","",COUNTA($H$7:$H94))</f>
        <v/>
      </c>
      <c r="B94" s="20"/>
      <c r="C94" s="21"/>
      <c r="D94" s="22"/>
      <c r="E94" s="22"/>
      <c r="F94" s="22"/>
      <c r="G94" s="21"/>
      <c r="H94" s="21"/>
      <c r="I94" s="23"/>
      <c r="J94" s="20"/>
      <c r="K94" s="24" t="str">
        <f aca="false">IF($B94="","",IF($J94&lt;&gt;"",$J94,$B94+IFERROR(VLOOKUP($I94,マスタ!$E$4:$F$6,2,0),7)))</f>
        <v/>
      </c>
      <c r="L94" s="21"/>
      <c r="M94" s="21"/>
      <c r="N94" s="20"/>
      <c r="O94" s="20"/>
      <c r="P94" s="25" t="str">
        <f aca="true">IF($H94="","",IF($O94&lt;&gt;"","確認済み（完了）",IF($N94&lt;&gt;"","是正済み（確認待ち）",IF($K94="","期限が未設定",IF(TODAY()&gt;$K94,"期限超過 "&amp;TEXT(TODAY()-$K94,"0")&amp;"日",IF($K94-TODAY()&lt;=3,"期限まで "&amp;TEXT($K94-TODAY(),"0")&amp;"日","未是正 あと"&amp;TEXT($K94-TODAY(),"0")&amp;"日"))))))</f>
        <v/>
      </c>
      <c r="Q94" s="26" t="str">
        <f aca="true">IF(OR($H94="",$O94&lt;&gt;"",$N94&lt;&gt;"",$K94=""),"",$K94-TODAY())</f>
        <v/>
      </c>
      <c r="R94" s="2" t="str">
        <f aca="false">IF($H94="","",IF(AND($B94=パトロール報告書!$C$3,$C94=パトロール報告書!$C$4),COUNTIFS($B$7:$B94,パトロール報告書!$C$3,$C$7:$C94,パトロール報告書!$C$4),""))</f>
        <v/>
      </c>
    </row>
    <row r="95" customFormat="false" ht="15" hidden="false" customHeight="false" outlineLevel="0" collapsed="false">
      <c r="A95" s="19" t="str">
        <f aca="false">IF($H95="","",COUNTA($H$7:$H95))</f>
        <v/>
      </c>
      <c r="B95" s="20"/>
      <c r="C95" s="21"/>
      <c r="D95" s="22"/>
      <c r="E95" s="22"/>
      <c r="F95" s="22"/>
      <c r="G95" s="21"/>
      <c r="H95" s="21"/>
      <c r="I95" s="23"/>
      <c r="J95" s="20"/>
      <c r="K95" s="24" t="str">
        <f aca="false">IF($B95="","",IF($J95&lt;&gt;"",$J95,$B95+IFERROR(VLOOKUP($I95,マスタ!$E$4:$F$6,2,0),7)))</f>
        <v/>
      </c>
      <c r="L95" s="21"/>
      <c r="M95" s="21"/>
      <c r="N95" s="20"/>
      <c r="O95" s="20"/>
      <c r="P95" s="25" t="str">
        <f aca="true">IF($H95="","",IF($O95&lt;&gt;"","確認済み（完了）",IF($N95&lt;&gt;"","是正済み（確認待ち）",IF($K95="","期限が未設定",IF(TODAY()&gt;$K95,"期限超過 "&amp;TEXT(TODAY()-$K95,"0")&amp;"日",IF($K95-TODAY()&lt;=3,"期限まで "&amp;TEXT($K95-TODAY(),"0")&amp;"日","未是正 あと"&amp;TEXT($K95-TODAY(),"0")&amp;"日"))))))</f>
        <v/>
      </c>
      <c r="Q95" s="26" t="str">
        <f aca="true">IF(OR($H95="",$O95&lt;&gt;"",$N95&lt;&gt;"",$K95=""),"",$K95-TODAY())</f>
        <v/>
      </c>
      <c r="R95" s="2" t="str">
        <f aca="false">IF($H95="","",IF(AND($B95=パトロール報告書!$C$3,$C95=パトロール報告書!$C$4),COUNTIFS($B$7:$B95,パトロール報告書!$C$3,$C$7:$C95,パトロール報告書!$C$4),""))</f>
        <v/>
      </c>
    </row>
    <row r="96" customFormat="false" ht="15" hidden="false" customHeight="false" outlineLevel="0" collapsed="false">
      <c r="A96" s="19" t="str">
        <f aca="false">IF($H96="","",COUNTA($H$7:$H96))</f>
        <v/>
      </c>
      <c r="B96" s="20"/>
      <c r="C96" s="21"/>
      <c r="D96" s="22"/>
      <c r="E96" s="22"/>
      <c r="F96" s="22"/>
      <c r="G96" s="21"/>
      <c r="H96" s="21"/>
      <c r="I96" s="23"/>
      <c r="J96" s="20"/>
      <c r="K96" s="24" t="str">
        <f aca="false">IF($B96="","",IF($J96&lt;&gt;"",$J96,$B96+IFERROR(VLOOKUP($I96,マスタ!$E$4:$F$6,2,0),7)))</f>
        <v/>
      </c>
      <c r="L96" s="21"/>
      <c r="M96" s="21"/>
      <c r="N96" s="20"/>
      <c r="O96" s="20"/>
      <c r="P96" s="25" t="str">
        <f aca="true">IF($H96="","",IF($O96&lt;&gt;"","確認済み（完了）",IF($N96&lt;&gt;"","是正済み（確認待ち）",IF($K96="","期限が未設定",IF(TODAY()&gt;$K96,"期限超過 "&amp;TEXT(TODAY()-$K96,"0")&amp;"日",IF($K96-TODAY()&lt;=3,"期限まで "&amp;TEXT($K96-TODAY(),"0")&amp;"日","未是正 あと"&amp;TEXT($K96-TODAY(),"0")&amp;"日"))))))</f>
        <v/>
      </c>
      <c r="Q96" s="26" t="str">
        <f aca="true">IF(OR($H96="",$O96&lt;&gt;"",$N96&lt;&gt;"",$K96=""),"",$K96-TODAY())</f>
        <v/>
      </c>
      <c r="R96" s="2" t="str">
        <f aca="false">IF($H96="","",IF(AND($B96=パトロール報告書!$C$3,$C96=パトロール報告書!$C$4),COUNTIFS($B$7:$B96,パトロール報告書!$C$3,$C$7:$C96,パトロール報告書!$C$4),""))</f>
        <v/>
      </c>
    </row>
    <row r="97" customFormat="false" ht="15" hidden="false" customHeight="false" outlineLevel="0" collapsed="false">
      <c r="A97" s="19" t="str">
        <f aca="false">IF($H97="","",COUNTA($H$7:$H97))</f>
        <v/>
      </c>
      <c r="B97" s="20"/>
      <c r="C97" s="21"/>
      <c r="D97" s="22"/>
      <c r="E97" s="22"/>
      <c r="F97" s="22"/>
      <c r="G97" s="21"/>
      <c r="H97" s="21"/>
      <c r="I97" s="23"/>
      <c r="J97" s="20"/>
      <c r="K97" s="24" t="str">
        <f aca="false">IF($B97="","",IF($J97&lt;&gt;"",$J97,$B97+IFERROR(VLOOKUP($I97,マスタ!$E$4:$F$6,2,0),7)))</f>
        <v/>
      </c>
      <c r="L97" s="21"/>
      <c r="M97" s="21"/>
      <c r="N97" s="20"/>
      <c r="O97" s="20"/>
      <c r="P97" s="25" t="str">
        <f aca="true">IF($H97="","",IF($O97&lt;&gt;"","確認済み（完了）",IF($N97&lt;&gt;"","是正済み（確認待ち）",IF($K97="","期限が未設定",IF(TODAY()&gt;$K97,"期限超過 "&amp;TEXT(TODAY()-$K97,"0")&amp;"日",IF($K97-TODAY()&lt;=3,"期限まで "&amp;TEXT($K97-TODAY(),"0")&amp;"日","未是正 あと"&amp;TEXT($K97-TODAY(),"0")&amp;"日"))))))</f>
        <v/>
      </c>
      <c r="Q97" s="26" t="str">
        <f aca="true">IF(OR($H97="",$O97&lt;&gt;"",$N97&lt;&gt;"",$K97=""),"",$K97-TODAY())</f>
        <v/>
      </c>
      <c r="R97" s="2" t="str">
        <f aca="false">IF($H97="","",IF(AND($B97=パトロール報告書!$C$3,$C97=パトロール報告書!$C$4),COUNTIFS($B$7:$B97,パトロール報告書!$C$3,$C$7:$C97,パトロール報告書!$C$4),""))</f>
        <v/>
      </c>
    </row>
    <row r="98" customFormat="false" ht="15" hidden="false" customHeight="false" outlineLevel="0" collapsed="false">
      <c r="A98" s="19" t="str">
        <f aca="false">IF($H98="","",COUNTA($H$7:$H98))</f>
        <v/>
      </c>
      <c r="B98" s="20"/>
      <c r="C98" s="21"/>
      <c r="D98" s="22"/>
      <c r="E98" s="22"/>
      <c r="F98" s="22"/>
      <c r="G98" s="21"/>
      <c r="H98" s="21"/>
      <c r="I98" s="23"/>
      <c r="J98" s="20"/>
      <c r="K98" s="24" t="str">
        <f aca="false">IF($B98="","",IF($J98&lt;&gt;"",$J98,$B98+IFERROR(VLOOKUP($I98,マスタ!$E$4:$F$6,2,0),7)))</f>
        <v/>
      </c>
      <c r="L98" s="21"/>
      <c r="M98" s="21"/>
      <c r="N98" s="20"/>
      <c r="O98" s="20"/>
      <c r="P98" s="25" t="str">
        <f aca="true">IF($H98="","",IF($O98&lt;&gt;"","確認済み（完了）",IF($N98&lt;&gt;"","是正済み（確認待ち）",IF($K98="","期限が未設定",IF(TODAY()&gt;$K98,"期限超過 "&amp;TEXT(TODAY()-$K98,"0")&amp;"日",IF($K98-TODAY()&lt;=3,"期限まで "&amp;TEXT($K98-TODAY(),"0")&amp;"日","未是正 あと"&amp;TEXT($K98-TODAY(),"0")&amp;"日"))))))</f>
        <v/>
      </c>
      <c r="Q98" s="26" t="str">
        <f aca="true">IF(OR($H98="",$O98&lt;&gt;"",$N98&lt;&gt;"",$K98=""),"",$K98-TODAY())</f>
        <v/>
      </c>
      <c r="R98" s="2" t="str">
        <f aca="false">IF($H98="","",IF(AND($B98=パトロール報告書!$C$3,$C98=パトロール報告書!$C$4),COUNTIFS($B$7:$B98,パトロール報告書!$C$3,$C$7:$C98,パトロール報告書!$C$4),""))</f>
        <v/>
      </c>
    </row>
    <row r="99" customFormat="false" ht="15" hidden="false" customHeight="false" outlineLevel="0" collapsed="false">
      <c r="A99" s="19" t="str">
        <f aca="false">IF($H99="","",COUNTA($H$7:$H99))</f>
        <v/>
      </c>
      <c r="B99" s="20"/>
      <c r="C99" s="21"/>
      <c r="D99" s="22"/>
      <c r="E99" s="22"/>
      <c r="F99" s="22"/>
      <c r="G99" s="21"/>
      <c r="H99" s="21"/>
      <c r="I99" s="23"/>
      <c r="J99" s="20"/>
      <c r="K99" s="24" t="str">
        <f aca="false">IF($B99="","",IF($J99&lt;&gt;"",$J99,$B99+IFERROR(VLOOKUP($I99,マスタ!$E$4:$F$6,2,0),7)))</f>
        <v/>
      </c>
      <c r="L99" s="21"/>
      <c r="M99" s="21"/>
      <c r="N99" s="20"/>
      <c r="O99" s="20"/>
      <c r="P99" s="25" t="str">
        <f aca="true">IF($H99="","",IF($O99&lt;&gt;"","確認済み（完了）",IF($N99&lt;&gt;"","是正済み（確認待ち）",IF($K99="","期限が未設定",IF(TODAY()&gt;$K99,"期限超過 "&amp;TEXT(TODAY()-$K99,"0")&amp;"日",IF($K99-TODAY()&lt;=3,"期限まで "&amp;TEXT($K99-TODAY(),"0")&amp;"日","未是正 あと"&amp;TEXT($K99-TODAY(),"0")&amp;"日"))))))</f>
        <v/>
      </c>
      <c r="Q99" s="26" t="str">
        <f aca="true">IF(OR($H99="",$O99&lt;&gt;"",$N99&lt;&gt;"",$K99=""),"",$K99-TODAY())</f>
        <v/>
      </c>
      <c r="R99" s="2" t="str">
        <f aca="false">IF($H99="","",IF(AND($B99=パトロール報告書!$C$3,$C99=パトロール報告書!$C$4),COUNTIFS($B$7:$B99,パトロール報告書!$C$3,$C$7:$C99,パトロール報告書!$C$4),""))</f>
        <v/>
      </c>
    </row>
    <row r="100" customFormat="false" ht="15" hidden="false" customHeight="false" outlineLevel="0" collapsed="false">
      <c r="A100" s="19" t="str">
        <f aca="false">IF($H100="","",COUNTA($H$7:$H100))</f>
        <v/>
      </c>
      <c r="B100" s="20"/>
      <c r="C100" s="21"/>
      <c r="D100" s="22"/>
      <c r="E100" s="22"/>
      <c r="F100" s="22"/>
      <c r="G100" s="21"/>
      <c r="H100" s="21"/>
      <c r="I100" s="23"/>
      <c r="J100" s="20"/>
      <c r="K100" s="24" t="str">
        <f aca="false">IF($B100="","",IF($J100&lt;&gt;"",$J100,$B100+IFERROR(VLOOKUP($I100,マスタ!$E$4:$F$6,2,0),7)))</f>
        <v/>
      </c>
      <c r="L100" s="21"/>
      <c r="M100" s="21"/>
      <c r="N100" s="20"/>
      <c r="O100" s="20"/>
      <c r="P100" s="25" t="str">
        <f aca="true">IF($H100="","",IF($O100&lt;&gt;"","確認済み（完了）",IF($N100&lt;&gt;"","是正済み（確認待ち）",IF($K100="","期限が未設定",IF(TODAY()&gt;$K100,"期限超過 "&amp;TEXT(TODAY()-$K100,"0")&amp;"日",IF($K100-TODAY()&lt;=3,"期限まで "&amp;TEXT($K100-TODAY(),"0")&amp;"日","未是正 あと"&amp;TEXT($K100-TODAY(),"0")&amp;"日"))))))</f>
        <v/>
      </c>
      <c r="Q100" s="26" t="str">
        <f aca="true">IF(OR($H100="",$O100&lt;&gt;"",$N100&lt;&gt;"",$K100=""),"",$K100-TODAY())</f>
        <v/>
      </c>
      <c r="R100" s="2" t="str">
        <f aca="false">IF($H100="","",IF(AND($B100=パトロール報告書!$C$3,$C100=パトロール報告書!$C$4),COUNTIFS($B$7:$B100,パトロール報告書!$C$3,$C$7:$C100,パトロール報告書!$C$4),""))</f>
        <v/>
      </c>
    </row>
    <row r="101" customFormat="false" ht="15" hidden="false" customHeight="false" outlineLevel="0" collapsed="false">
      <c r="A101" s="19" t="str">
        <f aca="false">IF($H101="","",COUNTA($H$7:$H101))</f>
        <v/>
      </c>
      <c r="B101" s="20"/>
      <c r="C101" s="21"/>
      <c r="D101" s="22"/>
      <c r="E101" s="22"/>
      <c r="F101" s="22"/>
      <c r="G101" s="21"/>
      <c r="H101" s="21"/>
      <c r="I101" s="23"/>
      <c r="J101" s="20"/>
      <c r="K101" s="24" t="str">
        <f aca="false">IF($B101="","",IF($J101&lt;&gt;"",$J101,$B101+IFERROR(VLOOKUP($I101,マスタ!$E$4:$F$6,2,0),7)))</f>
        <v/>
      </c>
      <c r="L101" s="21"/>
      <c r="M101" s="21"/>
      <c r="N101" s="20"/>
      <c r="O101" s="20"/>
      <c r="P101" s="25" t="str">
        <f aca="true">IF($H101="","",IF($O101&lt;&gt;"","確認済み（完了）",IF($N101&lt;&gt;"","是正済み（確認待ち）",IF($K101="","期限が未設定",IF(TODAY()&gt;$K101,"期限超過 "&amp;TEXT(TODAY()-$K101,"0")&amp;"日",IF($K101-TODAY()&lt;=3,"期限まで "&amp;TEXT($K101-TODAY(),"0")&amp;"日","未是正 あと"&amp;TEXT($K101-TODAY(),"0")&amp;"日"))))))</f>
        <v/>
      </c>
      <c r="Q101" s="26" t="str">
        <f aca="true">IF(OR($H101="",$O101&lt;&gt;"",$N101&lt;&gt;"",$K101=""),"",$K101-TODAY())</f>
        <v/>
      </c>
      <c r="R101" s="2" t="str">
        <f aca="false">IF($H101="","",IF(AND($B101=パトロール報告書!$C$3,$C101=パトロール報告書!$C$4),COUNTIFS($B$7:$B101,パトロール報告書!$C$3,$C$7:$C101,パトロール報告書!$C$4),""))</f>
        <v/>
      </c>
    </row>
    <row r="102" customFormat="false" ht="15" hidden="false" customHeight="false" outlineLevel="0" collapsed="false">
      <c r="A102" s="19" t="str">
        <f aca="false">IF($H102="","",COUNTA($H$7:$H102))</f>
        <v/>
      </c>
      <c r="B102" s="20"/>
      <c r="C102" s="21"/>
      <c r="D102" s="22"/>
      <c r="E102" s="22"/>
      <c r="F102" s="22"/>
      <c r="G102" s="21"/>
      <c r="H102" s="21"/>
      <c r="I102" s="23"/>
      <c r="J102" s="20"/>
      <c r="K102" s="24" t="str">
        <f aca="false">IF($B102="","",IF($J102&lt;&gt;"",$J102,$B102+IFERROR(VLOOKUP($I102,マスタ!$E$4:$F$6,2,0),7)))</f>
        <v/>
      </c>
      <c r="L102" s="21"/>
      <c r="M102" s="21"/>
      <c r="N102" s="20"/>
      <c r="O102" s="20"/>
      <c r="P102" s="25" t="str">
        <f aca="true">IF($H102="","",IF($O102&lt;&gt;"","確認済み（完了）",IF($N102&lt;&gt;"","是正済み（確認待ち）",IF($K102="","期限が未設定",IF(TODAY()&gt;$K102,"期限超過 "&amp;TEXT(TODAY()-$K102,"0")&amp;"日",IF($K102-TODAY()&lt;=3,"期限まで "&amp;TEXT($K102-TODAY(),"0")&amp;"日","未是正 あと"&amp;TEXT($K102-TODAY(),"0")&amp;"日"))))))</f>
        <v/>
      </c>
      <c r="Q102" s="26" t="str">
        <f aca="true">IF(OR($H102="",$O102&lt;&gt;"",$N102&lt;&gt;"",$K102=""),"",$K102-TODAY())</f>
        <v/>
      </c>
      <c r="R102" s="2" t="str">
        <f aca="false">IF($H102="","",IF(AND($B102=パトロール報告書!$C$3,$C102=パトロール報告書!$C$4),COUNTIFS($B$7:$B102,パトロール報告書!$C$3,$C$7:$C102,パトロール報告書!$C$4),""))</f>
        <v/>
      </c>
    </row>
    <row r="103" customFormat="false" ht="15" hidden="false" customHeight="false" outlineLevel="0" collapsed="false">
      <c r="A103" s="19" t="str">
        <f aca="false">IF($H103="","",COUNTA($H$7:$H103))</f>
        <v/>
      </c>
      <c r="B103" s="20"/>
      <c r="C103" s="21"/>
      <c r="D103" s="22"/>
      <c r="E103" s="22"/>
      <c r="F103" s="22"/>
      <c r="G103" s="21"/>
      <c r="H103" s="21"/>
      <c r="I103" s="23"/>
      <c r="J103" s="20"/>
      <c r="K103" s="24" t="str">
        <f aca="false">IF($B103="","",IF($J103&lt;&gt;"",$J103,$B103+IFERROR(VLOOKUP($I103,マスタ!$E$4:$F$6,2,0),7)))</f>
        <v/>
      </c>
      <c r="L103" s="21"/>
      <c r="M103" s="21"/>
      <c r="N103" s="20"/>
      <c r="O103" s="20"/>
      <c r="P103" s="25" t="str">
        <f aca="true">IF($H103="","",IF($O103&lt;&gt;"","確認済み（完了）",IF($N103&lt;&gt;"","是正済み（確認待ち）",IF($K103="","期限が未設定",IF(TODAY()&gt;$K103,"期限超過 "&amp;TEXT(TODAY()-$K103,"0")&amp;"日",IF($K103-TODAY()&lt;=3,"期限まで "&amp;TEXT($K103-TODAY(),"0")&amp;"日","未是正 あと"&amp;TEXT($K103-TODAY(),"0")&amp;"日"))))))</f>
        <v/>
      </c>
      <c r="Q103" s="26" t="str">
        <f aca="true">IF(OR($H103="",$O103&lt;&gt;"",$N103&lt;&gt;"",$K103=""),"",$K103-TODAY())</f>
        <v/>
      </c>
      <c r="R103" s="2" t="str">
        <f aca="false">IF($H103="","",IF(AND($B103=パトロール報告書!$C$3,$C103=パトロール報告書!$C$4),COUNTIFS($B$7:$B103,パトロール報告書!$C$3,$C$7:$C103,パトロール報告書!$C$4),""))</f>
        <v/>
      </c>
    </row>
    <row r="104" customFormat="false" ht="15" hidden="false" customHeight="false" outlineLevel="0" collapsed="false">
      <c r="A104" s="19" t="str">
        <f aca="false">IF($H104="","",COUNTA($H$7:$H104))</f>
        <v/>
      </c>
      <c r="B104" s="20"/>
      <c r="C104" s="21"/>
      <c r="D104" s="22"/>
      <c r="E104" s="22"/>
      <c r="F104" s="22"/>
      <c r="G104" s="21"/>
      <c r="H104" s="21"/>
      <c r="I104" s="23"/>
      <c r="J104" s="20"/>
      <c r="K104" s="24" t="str">
        <f aca="false">IF($B104="","",IF($J104&lt;&gt;"",$J104,$B104+IFERROR(VLOOKUP($I104,マスタ!$E$4:$F$6,2,0),7)))</f>
        <v/>
      </c>
      <c r="L104" s="21"/>
      <c r="M104" s="21"/>
      <c r="N104" s="20"/>
      <c r="O104" s="20"/>
      <c r="P104" s="25" t="str">
        <f aca="true">IF($H104="","",IF($O104&lt;&gt;"","確認済み（完了）",IF($N104&lt;&gt;"","是正済み（確認待ち）",IF($K104="","期限が未設定",IF(TODAY()&gt;$K104,"期限超過 "&amp;TEXT(TODAY()-$K104,"0")&amp;"日",IF($K104-TODAY()&lt;=3,"期限まで "&amp;TEXT($K104-TODAY(),"0")&amp;"日","未是正 あと"&amp;TEXT($K104-TODAY(),"0")&amp;"日"))))))</f>
        <v/>
      </c>
      <c r="Q104" s="26" t="str">
        <f aca="true">IF(OR($H104="",$O104&lt;&gt;"",$N104&lt;&gt;"",$K104=""),"",$K104-TODAY())</f>
        <v/>
      </c>
      <c r="R104" s="2" t="str">
        <f aca="false">IF($H104="","",IF(AND($B104=パトロール報告書!$C$3,$C104=パトロール報告書!$C$4),COUNTIFS($B$7:$B104,パトロール報告書!$C$3,$C$7:$C104,パトロール報告書!$C$4),""))</f>
        <v/>
      </c>
    </row>
    <row r="105" customFormat="false" ht="15" hidden="false" customHeight="false" outlineLevel="0" collapsed="false">
      <c r="A105" s="19" t="str">
        <f aca="false">IF($H105="","",COUNTA($H$7:$H105))</f>
        <v/>
      </c>
      <c r="B105" s="20"/>
      <c r="C105" s="21"/>
      <c r="D105" s="22"/>
      <c r="E105" s="22"/>
      <c r="F105" s="22"/>
      <c r="G105" s="21"/>
      <c r="H105" s="21"/>
      <c r="I105" s="23"/>
      <c r="J105" s="20"/>
      <c r="K105" s="24" t="str">
        <f aca="false">IF($B105="","",IF($J105&lt;&gt;"",$J105,$B105+IFERROR(VLOOKUP($I105,マスタ!$E$4:$F$6,2,0),7)))</f>
        <v/>
      </c>
      <c r="L105" s="21"/>
      <c r="M105" s="21"/>
      <c r="N105" s="20"/>
      <c r="O105" s="20"/>
      <c r="P105" s="25" t="str">
        <f aca="true">IF($H105="","",IF($O105&lt;&gt;"","確認済み（完了）",IF($N105&lt;&gt;"","是正済み（確認待ち）",IF($K105="","期限が未設定",IF(TODAY()&gt;$K105,"期限超過 "&amp;TEXT(TODAY()-$K105,"0")&amp;"日",IF($K105-TODAY()&lt;=3,"期限まで "&amp;TEXT($K105-TODAY(),"0")&amp;"日","未是正 あと"&amp;TEXT($K105-TODAY(),"0")&amp;"日"))))))</f>
        <v/>
      </c>
      <c r="Q105" s="26" t="str">
        <f aca="true">IF(OR($H105="",$O105&lt;&gt;"",$N105&lt;&gt;"",$K105=""),"",$K105-TODAY())</f>
        <v/>
      </c>
      <c r="R105" s="2" t="str">
        <f aca="false">IF($H105="","",IF(AND($B105=パトロール報告書!$C$3,$C105=パトロール報告書!$C$4),COUNTIFS($B$7:$B105,パトロール報告書!$C$3,$C$7:$C105,パトロール報告書!$C$4),""))</f>
        <v/>
      </c>
    </row>
    <row r="106" customFormat="false" ht="15" hidden="false" customHeight="false" outlineLevel="0" collapsed="false">
      <c r="A106" s="27" t="str">
        <f aca="false">IF($H106="","",COUNTA($H$7:$H106))</f>
        <v/>
      </c>
      <c r="B106" s="28"/>
      <c r="C106" s="29"/>
      <c r="D106" s="30"/>
      <c r="E106" s="30"/>
      <c r="F106" s="30"/>
      <c r="G106" s="29"/>
      <c r="H106" s="29"/>
      <c r="I106" s="31"/>
      <c r="J106" s="28"/>
      <c r="K106" s="32" t="str">
        <f aca="false">IF($B106="","",IF($J106&lt;&gt;"",$J106,$B106+IFERROR(VLOOKUP($I106,マスタ!$E$4:$F$6,2,0),7)))</f>
        <v/>
      </c>
      <c r="L106" s="29"/>
      <c r="M106" s="29"/>
      <c r="N106" s="28"/>
      <c r="O106" s="28"/>
      <c r="P106" s="33" t="str">
        <f aca="true">IF($H106="","",IF($O106&lt;&gt;"","確認済み（完了）",IF($N106&lt;&gt;"","是正済み（確認待ち）",IF($K106="","期限が未設定",IF(TODAY()&gt;$K106,"期限超過 "&amp;TEXT(TODAY()-$K106,"0")&amp;"日",IF($K106-TODAY()&lt;=3,"期限まで "&amp;TEXT($K106-TODAY(),"0")&amp;"日","未是正 あと"&amp;TEXT($K106-TODAY(),"0")&amp;"日"))))))</f>
        <v/>
      </c>
      <c r="Q106" s="34" t="str">
        <f aca="true">IF(OR($H106="",$O106&lt;&gt;"",$N106&lt;&gt;"",$K106=""),"",$K106-TODAY())</f>
        <v/>
      </c>
      <c r="R106" s="2" t="str">
        <f aca="false">IF($H106="","",IF(AND($B106=パトロール報告書!$C$3,$C106=パトロール報告書!$C$4),COUNTIFS($B$7:$B106,パトロール報告書!$C$3,$C$7:$C106,パトロール報告書!$C$4),""))</f>
        <v/>
      </c>
    </row>
  </sheetData>
  <autoFilter ref="A6:Q106"/>
  <mergeCells count="9">
    <mergeCell ref="A1:Q1"/>
    <mergeCell ref="A3:B3"/>
    <mergeCell ref="C3:E3"/>
    <mergeCell ref="G3:I3"/>
    <mergeCell ref="J3:K3"/>
    <mergeCell ref="L3:Q3"/>
    <mergeCell ref="A4:B4"/>
    <mergeCell ref="C4:E4"/>
    <mergeCell ref="G4:Q4"/>
  </mergeCells>
  <conditionalFormatting sqref="A7:Q106">
    <cfRule type="expression" priority="2" aboveAverage="0" equalAverage="0" bottom="0" percent="0" rank="0" text="" dxfId="5">
      <formula>AND($H7&lt;&gt;"",$O7&lt;&gt;"")</formula>
    </cfRule>
    <cfRule type="expression" priority="3" aboveAverage="0" equalAverage="0" bottom="0" percent="0" rank="0" text="" dxfId="6">
      <formula>AND($H7&lt;&gt;"",$O7="",$N7="",$K7&lt;&gt;"",TODAY()&gt;$K7)</formula>
    </cfRule>
    <cfRule type="expression" priority="4" aboveAverage="0" equalAverage="0" bottom="0" percent="0" rank="0" text="" dxfId="7">
      <formula>AND($H7&lt;&gt;"",$O7="",$N7="",$K7&lt;&gt;"",$K7-TODAY()&lt;=3)</formula>
    </cfRule>
  </conditionalFormatting>
  <conditionalFormatting sqref="I7:I106">
    <cfRule type="expression" priority="5" aboveAverage="0" equalAverage="0" bottom="0" percent="0" rank="0" text="" dxfId="8">
      <formula>$I7="A"</formula>
    </cfRule>
  </conditionalFormatting>
  <dataValidations count="3">
    <dataValidation allowBlank="true" errorStyle="stop" operator="between" showDropDown="false" showErrorMessage="false" showInputMessage="false" sqref="D7:D106" type="list">
      <formula1>マスタ!$A$4:$A$9</formula1>
      <formula2>0</formula2>
    </dataValidation>
    <dataValidation allowBlank="true" errorStyle="stop" operator="between" showDropDown="false" showErrorMessage="false" showInputMessage="false" sqref="F7:F106" type="list">
      <formula1>マスタ!$C$4:$C$15</formula1>
      <formula2>0</formula2>
    </dataValidation>
    <dataValidation allowBlank="true" error="危険度は A・B・C から選んでください。" errorStyle="stop" errorTitle="入力できません" operator="between" showDropDown="false" showErrorMessage="false" showInputMessage="false" sqref="I7:I106" type="list">
      <formula1>マスタ!$E$4:$E$6</formula1>
      <formula2>0</formula2>
    </dataValidation>
  </dataValidation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3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15"/>
    <col collapsed="false" customWidth="true" hidden="false" outlineLevel="0" max="3" min="3" style="0" width="17"/>
    <col collapsed="false" customWidth="true" hidden="false" outlineLevel="0" max="4" min="4" style="0" width="24"/>
    <col collapsed="false" customWidth="true" hidden="false" outlineLevel="0" max="5" min="5" style="0" width="20"/>
    <col collapsed="false" customWidth="true" hidden="false" outlineLevel="0" max="6" min="6" style="0" width="8"/>
    <col collapsed="false" customWidth="true" hidden="false" outlineLevel="0" max="9" min="7" style="0" width="13"/>
    <col collapsed="false" customWidth="true" hidden="true" outlineLevel="0" max="11" min="11" style="0" width="3"/>
  </cols>
  <sheetData>
    <row r="1" customFormat="false" ht="30" hidden="false" customHeight="true" outlineLevel="0" collapsed="false">
      <c r="A1" s="35" t="s">
        <v>70</v>
      </c>
      <c r="B1" s="35"/>
      <c r="C1" s="35"/>
      <c r="D1" s="35"/>
      <c r="E1" s="35"/>
      <c r="F1" s="35"/>
      <c r="G1" s="35"/>
      <c r="H1" s="35"/>
      <c r="I1" s="35"/>
    </row>
    <row r="3" customFormat="false" ht="19.5" hidden="false" customHeight="true" outlineLevel="0" collapsed="false">
      <c r="A3" s="8" t="s">
        <v>57</v>
      </c>
      <c r="B3" s="8"/>
      <c r="C3" s="36"/>
      <c r="D3" s="10" t="s">
        <v>71</v>
      </c>
      <c r="E3" s="9"/>
      <c r="F3" s="10" t="s">
        <v>72</v>
      </c>
      <c r="G3" s="10"/>
      <c r="H3" s="37"/>
      <c r="I3" s="37"/>
    </row>
    <row r="4" customFormat="false" ht="19.5" hidden="false" customHeight="true" outlineLevel="0" collapsed="false">
      <c r="A4" s="38" t="s">
        <v>58</v>
      </c>
      <c r="B4" s="38"/>
      <c r="C4" s="39"/>
      <c r="D4" s="39"/>
      <c r="E4" s="39"/>
      <c r="F4" s="39"/>
      <c r="G4" s="39"/>
      <c r="H4" s="39"/>
      <c r="I4" s="39"/>
    </row>
    <row r="5" customFormat="false" ht="19.5" hidden="false" customHeight="true" outlineLevel="0" collapsed="false">
      <c r="A5" s="38" t="s">
        <v>60</v>
      </c>
      <c r="B5" s="38"/>
      <c r="C5" s="40"/>
      <c r="D5" s="40"/>
      <c r="E5" s="41" t="s">
        <v>73</v>
      </c>
      <c r="F5" s="39"/>
      <c r="G5" s="39"/>
      <c r="H5" s="39"/>
      <c r="I5" s="39"/>
    </row>
    <row r="6" customFormat="false" ht="19.5" hidden="false" customHeight="true" outlineLevel="0" collapsed="false">
      <c r="A6" s="12" t="s">
        <v>74</v>
      </c>
      <c r="B6" s="12"/>
      <c r="C6" s="13"/>
      <c r="D6" s="14" t="s">
        <v>75</v>
      </c>
      <c r="E6" s="42" t="n">
        <f aca="false">是正管理簿!$C$3</f>
        <v>0</v>
      </c>
      <c r="F6" s="42"/>
      <c r="G6" s="42"/>
      <c r="H6" s="14" t="s">
        <v>76</v>
      </c>
      <c r="I6" s="43" t="str">
        <f aca="false">COUNTIFS(是正管理簿!$B$7:$B$106,$C$3,是正管理簿!$C$7:$C$106,$C$4)&amp;" 件"</f>
        <v>0 件</v>
      </c>
    </row>
    <row r="7" customFormat="false" ht="15" hidden="false" customHeight="false" outlineLevel="0" collapsed="false">
      <c r="A7" s="44" t="s">
        <v>77</v>
      </c>
      <c r="B7" s="44"/>
      <c r="C7" s="44"/>
      <c r="D7" s="44"/>
      <c r="E7" s="44"/>
      <c r="F7" s="44"/>
      <c r="G7" s="44"/>
      <c r="H7" s="44"/>
      <c r="I7" s="44"/>
    </row>
    <row r="8" customFormat="false" ht="24" hidden="false" customHeight="true" outlineLevel="0" collapsed="false">
      <c r="A8" s="16" t="s">
        <v>18</v>
      </c>
      <c r="B8" s="17" t="s">
        <v>61</v>
      </c>
      <c r="C8" s="17" t="s">
        <v>62</v>
      </c>
      <c r="D8" s="17" t="s">
        <v>78</v>
      </c>
      <c r="E8" s="17"/>
      <c r="F8" s="17" t="s">
        <v>64</v>
      </c>
      <c r="G8" s="17" t="s">
        <v>20</v>
      </c>
      <c r="H8" s="17" t="s">
        <v>79</v>
      </c>
      <c r="I8" s="18" t="s">
        <v>80</v>
      </c>
    </row>
    <row r="9" customFormat="false" ht="15" hidden="false" customHeight="false" outlineLevel="0" collapsed="false">
      <c r="A9" s="45" t="str">
        <f aca="false">IF($K9="","",1)</f>
        <v/>
      </c>
      <c r="B9" s="21" t="str">
        <f aca="false">IF($K9="","",IF(INDEX(是正管理簿!$F$7:$F$106,$K9)="","",INDEX(是正管理簿!$F$7:$F$106,$K9)))</f>
        <v/>
      </c>
      <c r="C9" s="21" t="str">
        <f aca="false">IF($K9="","",IF(INDEX(是正管理簿!$G$7:$G$106,$K9)="","",INDEX(是正管理簿!$G$7:$G$106,$K9)))</f>
        <v/>
      </c>
      <c r="D9" s="21" t="str">
        <f aca="false">IF($K9="","",INDEX(是正管理簿!$H$7:$H$106,$K9)&amp;IF(INDEX(是正管理簿!$M$7:$M$106,$K9)="","",CHAR(10)&amp;"是正："&amp;INDEX(是正管理簿!$M$7:$M$106,$K9)))</f>
        <v/>
      </c>
      <c r="E9" s="21"/>
      <c r="F9" s="23" t="str">
        <f aca="false">IF($K9="","",IF(INDEX(是正管理簿!$I$7:$I$106,$K9)="","",INDEX(是正管理簿!$I$7:$I$106,$K9)))</f>
        <v/>
      </c>
      <c r="G9" s="20" t="str">
        <f aca="false">IF($K9="","",IF(INDEX(是正管理簿!$K$7:$K$106,$K9)="","",INDEX(是正管理簿!$K$7:$K$106,$K9)))</f>
        <v/>
      </c>
      <c r="H9" s="20" t="str">
        <f aca="false">IF($K9="","",IF(INDEX(是正管理簿!$N$7:$N$106,$K9)="","",INDEX(是正管理簿!$N$7:$N$106,$K9)))</f>
        <v/>
      </c>
      <c r="I9" s="46" t="str">
        <f aca="false">IF($K9="","",IF(INDEX(是正管理簿!$O$7:$O$106,$K9)="","",INDEX(是正管理簿!$O$7:$O$106,$K9)))</f>
        <v/>
      </c>
      <c r="K9" s="2" t="str">
        <f aca="false">IFERROR(MATCH(1,是正管理簿!$R$7:$R$106,0),"")</f>
        <v/>
      </c>
    </row>
    <row r="10" customFormat="false" ht="15" hidden="false" customHeight="false" outlineLevel="0" collapsed="false">
      <c r="A10" s="45" t="str">
        <f aca="false">IF($K10="","",2)</f>
        <v/>
      </c>
      <c r="B10" s="21" t="str">
        <f aca="false">IF($K10="","",IF(INDEX(是正管理簿!$F$7:$F$106,$K10)="","",INDEX(是正管理簿!$F$7:$F$106,$K10)))</f>
        <v/>
      </c>
      <c r="C10" s="21" t="str">
        <f aca="false">IF($K10="","",IF(INDEX(是正管理簿!$G$7:$G$106,$K10)="","",INDEX(是正管理簿!$G$7:$G$106,$K10)))</f>
        <v/>
      </c>
      <c r="D10" s="21" t="str">
        <f aca="false">IF($K10="","",INDEX(是正管理簿!$H$7:$H$106,$K10)&amp;IF(INDEX(是正管理簿!$M$7:$M$106,$K10)="","",CHAR(10)&amp;"是正："&amp;INDEX(是正管理簿!$M$7:$M$106,$K10)))</f>
        <v/>
      </c>
      <c r="E10" s="21"/>
      <c r="F10" s="23" t="str">
        <f aca="false">IF($K10="","",IF(INDEX(是正管理簿!$I$7:$I$106,$K10)="","",INDEX(是正管理簿!$I$7:$I$106,$K10)))</f>
        <v/>
      </c>
      <c r="G10" s="20" t="str">
        <f aca="false">IF($K10="","",IF(INDEX(是正管理簿!$K$7:$K$106,$K10)="","",INDEX(是正管理簿!$K$7:$K$106,$K10)))</f>
        <v/>
      </c>
      <c r="H10" s="20" t="str">
        <f aca="false">IF($K10="","",IF(INDEX(是正管理簿!$N$7:$N$106,$K10)="","",INDEX(是正管理簿!$N$7:$N$106,$K10)))</f>
        <v/>
      </c>
      <c r="I10" s="46" t="str">
        <f aca="false">IF($K10="","",IF(INDEX(是正管理簿!$O$7:$O$106,$K10)="","",INDEX(是正管理簿!$O$7:$O$106,$K10)))</f>
        <v/>
      </c>
      <c r="K10" s="2" t="str">
        <f aca="false">IFERROR(MATCH(2,是正管理簿!$R$7:$R$106,0),"")</f>
        <v/>
      </c>
    </row>
    <row r="11" customFormat="false" ht="15" hidden="false" customHeight="false" outlineLevel="0" collapsed="false">
      <c r="A11" s="45" t="str">
        <f aca="false">IF($K11="","",3)</f>
        <v/>
      </c>
      <c r="B11" s="21" t="str">
        <f aca="false">IF($K11="","",IF(INDEX(是正管理簿!$F$7:$F$106,$K11)="","",INDEX(是正管理簿!$F$7:$F$106,$K11)))</f>
        <v/>
      </c>
      <c r="C11" s="21" t="str">
        <f aca="false">IF($K11="","",IF(INDEX(是正管理簿!$G$7:$G$106,$K11)="","",INDEX(是正管理簿!$G$7:$G$106,$K11)))</f>
        <v/>
      </c>
      <c r="D11" s="21" t="str">
        <f aca="false">IF($K11="","",INDEX(是正管理簿!$H$7:$H$106,$K11)&amp;IF(INDEX(是正管理簿!$M$7:$M$106,$K11)="","",CHAR(10)&amp;"是正："&amp;INDEX(是正管理簿!$M$7:$M$106,$K11)))</f>
        <v/>
      </c>
      <c r="E11" s="21"/>
      <c r="F11" s="23" t="str">
        <f aca="false">IF($K11="","",IF(INDEX(是正管理簿!$I$7:$I$106,$K11)="","",INDEX(是正管理簿!$I$7:$I$106,$K11)))</f>
        <v/>
      </c>
      <c r="G11" s="20" t="str">
        <f aca="false">IF($K11="","",IF(INDEX(是正管理簿!$K$7:$K$106,$K11)="","",INDEX(是正管理簿!$K$7:$K$106,$K11)))</f>
        <v/>
      </c>
      <c r="H11" s="20" t="str">
        <f aca="false">IF($K11="","",IF(INDEX(是正管理簿!$N$7:$N$106,$K11)="","",INDEX(是正管理簿!$N$7:$N$106,$K11)))</f>
        <v/>
      </c>
      <c r="I11" s="46" t="str">
        <f aca="false">IF($K11="","",IF(INDEX(是正管理簿!$O$7:$O$106,$K11)="","",INDEX(是正管理簿!$O$7:$O$106,$K11)))</f>
        <v/>
      </c>
      <c r="K11" s="2" t="str">
        <f aca="false">IFERROR(MATCH(3,是正管理簿!$R$7:$R$106,0),"")</f>
        <v/>
      </c>
    </row>
    <row r="12" customFormat="false" ht="15" hidden="false" customHeight="false" outlineLevel="0" collapsed="false">
      <c r="A12" s="45" t="str">
        <f aca="false">IF($K12="","",4)</f>
        <v/>
      </c>
      <c r="B12" s="21" t="str">
        <f aca="false">IF($K12="","",IF(INDEX(是正管理簿!$F$7:$F$106,$K12)="","",INDEX(是正管理簿!$F$7:$F$106,$K12)))</f>
        <v/>
      </c>
      <c r="C12" s="21" t="str">
        <f aca="false">IF($K12="","",IF(INDEX(是正管理簿!$G$7:$G$106,$K12)="","",INDEX(是正管理簿!$G$7:$G$106,$K12)))</f>
        <v/>
      </c>
      <c r="D12" s="21" t="str">
        <f aca="false">IF($K12="","",INDEX(是正管理簿!$H$7:$H$106,$K12)&amp;IF(INDEX(是正管理簿!$M$7:$M$106,$K12)="","",CHAR(10)&amp;"是正："&amp;INDEX(是正管理簿!$M$7:$M$106,$K12)))</f>
        <v/>
      </c>
      <c r="E12" s="21"/>
      <c r="F12" s="23" t="str">
        <f aca="false">IF($K12="","",IF(INDEX(是正管理簿!$I$7:$I$106,$K12)="","",INDEX(是正管理簿!$I$7:$I$106,$K12)))</f>
        <v/>
      </c>
      <c r="G12" s="20" t="str">
        <f aca="false">IF($K12="","",IF(INDEX(是正管理簿!$K$7:$K$106,$K12)="","",INDEX(是正管理簿!$K$7:$K$106,$K12)))</f>
        <v/>
      </c>
      <c r="H12" s="20" t="str">
        <f aca="false">IF($K12="","",IF(INDEX(是正管理簿!$N$7:$N$106,$K12)="","",INDEX(是正管理簿!$N$7:$N$106,$K12)))</f>
        <v/>
      </c>
      <c r="I12" s="46" t="str">
        <f aca="false">IF($K12="","",IF(INDEX(是正管理簿!$O$7:$O$106,$K12)="","",INDEX(是正管理簿!$O$7:$O$106,$K12)))</f>
        <v/>
      </c>
      <c r="K12" s="2" t="str">
        <f aca="false">IFERROR(MATCH(4,是正管理簿!$R$7:$R$106,0),"")</f>
        <v/>
      </c>
    </row>
    <row r="13" customFormat="false" ht="15" hidden="false" customHeight="false" outlineLevel="0" collapsed="false">
      <c r="A13" s="45" t="str">
        <f aca="false">IF($K13="","",5)</f>
        <v/>
      </c>
      <c r="B13" s="21" t="str">
        <f aca="false">IF($K13="","",IF(INDEX(是正管理簿!$F$7:$F$106,$K13)="","",INDEX(是正管理簿!$F$7:$F$106,$K13)))</f>
        <v/>
      </c>
      <c r="C13" s="21" t="str">
        <f aca="false">IF($K13="","",IF(INDEX(是正管理簿!$G$7:$G$106,$K13)="","",INDEX(是正管理簿!$G$7:$G$106,$K13)))</f>
        <v/>
      </c>
      <c r="D13" s="21" t="str">
        <f aca="false">IF($K13="","",INDEX(是正管理簿!$H$7:$H$106,$K13)&amp;IF(INDEX(是正管理簿!$M$7:$M$106,$K13)="","",CHAR(10)&amp;"是正："&amp;INDEX(是正管理簿!$M$7:$M$106,$K13)))</f>
        <v/>
      </c>
      <c r="E13" s="21"/>
      <c r="F13" s="23" t="str">
        <f aca="false">IF($K13="","",IF(INDEX(是正管理簿!$I$7:$I$106,$K13)="","",INDEX(是正管理簿!$I$7:$I$106,$K13)))</f>
        <v/>
      </c>
      <c r="G13" s="20" t="str">
        <f aca="false">IF($K13="","",IF(INDEX(是正管理簿!$K$7:$K$106,$K13)="","",INDEX(是正管理簿!$K$7:$K$106,$K13)))</f>
        <v/>
      </c>
      <c r="H13" s="20" t="str">
        <f aca="false">IF($K13="","",IF(INDEX(是正管理簿!$N$7:$N$106,$K13)="","",INDEX(是正管理簿!$N$7:$N$106,$K13)))</f>
        <v/>
      </c>
      <c r="I13" s="46" t="str">
        <f aca="false">IF($K13="","",IF(INDEX(是正管理簿!$O$7:$O$106,$K13)="","",INDEX(是正管理簿!$O$7:$O$106,$K13)))</f>
        <v/>
      </c>
      <c r="K13" s="2" t="str">
        <f aca="false">IFERROR(MATCH(5,是正管理簿!$R$7:$R$106,0),"")</f>
        <v/>
      </c>
    </row>
    <row r="14" customFormat="false" ht="15" hidden="false" customHeight="false" outlineLevel="0" collapsed="false">
      <c r="A14" s="45" t="str">
        <f aca="false">IF($K14="","",6)</f>
        <v/>
      </c>
      <c r="B14" s="21" t="str">
        <f aca="false">IF($K14="","",IF(INDEX(是正管理簿!$F$7:$F$106,$K14)="","",INDEX(是正管理簿!$F$7:$F$106,$K14)))</f>
        <v/>
      </c>
      <c r="C14" s="21" t="str">
        <f aca="false">IF($K14="","",IF(INDEX(是正管理簿!$G$7:$G$106,$K14)="","",INDEX(是正管理簿!$G$7:$G$106,$K14)))</f>
        <v/>
      </c>
      <c r="D14" s="21" t="str">
        <f aca="false">IF($K14="","",INDEX(是正管理簿!$H$7:$H$106,$K14)&amp;IF(INDEX(是正管理簿!$M$7:$M$106,$K14)="","",CHAR(10)&amp;"是正："&amp;INDEX(是正管理簿!$M$7:$M$106,$K14)))</f>
        <v/>
      </c>
      <c r="E14" s="21"/>
      <c r="F14" s="23" t="str">
        <f aca="false">IF($K14="","",IF(INDEX(是正管理簿!$I$7:$I$106,$K14)="","",INDEX(是正管理簿!$I$7:$I$106,$K14)))</f>
        <v/>
      </c>
      <c r="G14" s="20" t="str">
        <f aca="false">IF($K14="","",IF(INDEX(是正管理簿!$K$7:$K$106,$K14)="","",INDEX(是正管理簿!$K$7:$K$106,$K14)))</f>
        <v/>
      </c>
      <c r="H14" s="20" t="str">
        <f aca="false">IF($K14="","",IF(INDEX(是正管理簿!$N$7:$N$106,$K14)="","",INDEX(是正管理簿!$N$7:$N$106,$K14)))</f>
        <v/>
      </c>
      <c r="I14" s="46" t="str">
        <f aca="false">IF($K14="","",IF(INDEX(是正管理簿!$O$7:$O$106,$K14)="","",INDEX(是正管理簿!$O$7:$O$106,$K14)))</f>
        <v/>
      </c>
      <c r="K14" s="2" t="str">
        <f aca="false">IFERROR(MATCH(6,是正管理簿!$R$7:$R$106,0),"")</f>
        <v/>
      </c>
    </row>
    <row r="15" customFormat="false" ht="15" hidden="false" customHeight="false" outlineLevel="0" collapsed="false">
      <c r="A15" s="45" t="str">
        <f aca="false">IF($K15="","",7)</f>
        <v/>
      </c>
      <c r="B15" s="21" t="str">
        <f aca="false">IF($K15="","",IF(INDEX(是正管理簿!$F$7:$F$106,$K15)="","",INDEX(是正管理簿!$F$7:$F$106,$K15)))</f>
        <v/>
      </c>
      <c r="C15" s="21" t="str">
        <f aca="false">IF($K15="","",IF(INDEX(是正管理簿!$G$7:$G$106,$K15)="","",INDEX(是正管理簿!$G$7:$G$106,$K15)))</f>
        <v/>
      </c>
      <c r="D15" s="21" t="str">
        <f aca="false">IF($K15="","",INDEX(是正管理簿!$H$7:$H$106,$K15)&amp;IF(INDEX(是正管理簿!$M$7:$M$106,$K15)="","",CHAR(10)&amp;"是正："&amp;INDEX(是正管理簿!$M$7:$M$106,$K15)))</f>
        <v/>
      </c>
      <c r="E15" s="21"/>
      <c r="F15" s="23" t="str">
        <f aca="false">IF($K15="","",IF(INDEX(是正管理簿!$I$7:$I$106,$K15)="","",INDEX(是正管理簿!$I$7:$I$106,$K15)))</f>
        <v/>
      </c>
      <c r="G15" s="20" t="str">
        <f aca="false">IF($K15="","",IF(INDEX(是正管理簿!$K$7:$K$106,$K15)="","",INDEX(是正管理簿!$K$7:$K$106,$K15)))</f>
        <v/>
      </c>
      <c r="H15" s="20" t="str">
        <f aca="false">IF($K15="","",IF(INDEX(是正管理簿!$N$7:$N$106,$K15)="","",INDEX(是正管理簿!$N$7:$N$106,$K15)))</f>
        <v/>
      </c>
      <c r="I15" s="46" t="str">
        <f aca="false">IF($K15="","",IF(INDEX(是正管理簿!$O$7:$O$106,$K15)="","",INDEX(是正管理簿!$O$7:$O$106,$K15)))</f>
        <v/>
      </c>
      <c r="K15" s="2" t="str">
        <f aca="false">IFERROR(MATCH(7,是正管理簿!$R$7:$R$106,0),"")</f>
        <v/>
      </c>
    </row>
    <row r="16" customFormat="false" ht="15" hidden="false" customHeight="false" outlineLevel="0" collapsed="false">
      <c r="A16" s="45" t="str">
        <f aca="false">IF($K16="","",8)</f>
        <v/>
      </c>
      <c r="B16" s="21" t="str">
        <f aca="false">IF($K16="","",IF(INDEX(是正管理簿!$F$7:$F$106,$K16)="","",INDEX(是正管理簿!$F$7:$F$106,$K16)))</f>
        <v/>
      </c>
      <c r="C16" s="21" t="str">
        <f aca="false">IF($K16="","",IF(INDEX(是正管理簿!$G$7:$G$106,$K16)="","",INDEX(是正管理簿!$G$7:$G$106,$K16)))</f>
        <v/>
      </c>
      <c r="D16" s="21" t="str">
        <f aca="false">IF($K16="","",INDEX(是正管理簿!$H$7:$H$106,$K16)&amp;IF(INDEX(是正管理簿!$M$7:$M$106,$K16)="","",CHAR(10)&amp;"是正："&amp;INDEX(是正管理簿!$M$7:$M$106,$K16)))</f>
        <v/>
      </c>
      <c r="E16" s="21"/>
      <c r="F16" s="23" t="str">
        <f aca="false">IF($K16="","",IF(INDEX(是正管理簿!$I$7:$I$106,$K16)="","",INDEX(是正管理簿!$I$7:$I$106,$K16)))</f>
        <v/>
      </c>
      <c r="G16" s="20" t="str">
        <f aca="false">IF($K16="","",IF(INDEX(是正管理簿!$K$7:$K$106,$K16)="","",INDEX(是正管理簿!$K$7:$K$106,$K16)))</f>
        <v/>
      </c>
      <c r="H16" s="20" t="str">
        <f aca="false">IF($K16="","",IF(INDEX(是正管理簿!$N$7:$N$106,$K16)="","",INDEX(是正管理簿!$N$7:$N$106,$K16)))</f>
        <v/>
      </c>
      <c r="I16" s="46" t="str">
        <f aca="false">IF($K16="","",IF(INDEX(是正管理簿!$O$7:$O$106,$K16)="","",INDEX(是正管理簿!$O$7:$O$106,$K16)))</f>
        <v/>
      </c>
      <c r="K16" s="2" t="str">
        <f aca="false">IFERROR(MATCH(8,是正管理簿!$R$7:$R$106,0),"")</f>
        <v/>
      </c>
    </row>
    <row r="17" customFormat="false" ht="15" hidden="false" customHeight="false" outlineLevel="0" collapsed="false">
      <c r="A17" s="45" t="str">
        <f aca="false">IF($K17="","",9)</f>
        <v/>
      </c>
      <c r="B17" s="21" t="str">
        <f aca="false">IF($K17="","",IF(INDEX(是正管理簿!$F$7:$F$106,$K17)="","",INDEX(是正管理簿!$F$7:$F$106,$K17)))</f>
        <v/>
      </c>
      <c r="C17" s="21" t="str">
        <f aca="false">IF($K17="","",IF(INDEX(是正管理簿!$G$7:$G$106,$K17)="","",INDEX(是正管理簿!$G$7:$G$106,$K17)))</f>
        <v/>
      </c>
      <c r="D17" s="21" t="str">
        <f aca="false">IF($K17="","",INDEX(是正管理簿!$H$7:$H$106,$K17)&amp;IF(INDEX(是正管理簿!$M$7:$M$106,$K17)="","",CHAR(10)&amp;"是正："&amp;INDEX(是正管理簿!$M$7:$M$106,$K17)))</f>
        <v/>
      </c>
      <c r="E17" s="21"/>
      <c r="F17" s="23" t="str">
        <f aca="false">IF($K17="","",IF(INDEX(是正管理簿!$I$7:$I$106,$K17)="","",INDEX(是正管理簿!$I$7:$I$106,$K17)))</f>
        <v/>
      </c>
      <c r="G17" s="20" t="str">
        <f aca="false">IF($K17="","",IF(INDEX(是正管理簿!$K$7:$K$106,$K17)="","",INDEX(是正管理簿!$K$7:$K$106,$K17)))</f>
        <v/>
      </c>
      <c r="H17" s="20" t="str">
        <f aca="false">IF($K17="","",IF(INDEX(是正管理簿!$N$7:$N$106,$K17)="","",INDEX(是正管理簿!$N$7:$N$106,$K17)))</f>
        <v/>
      </c>
      <c r="I17" s="46" t="str">
        <f aca="false">IF($K17="","",IF(INDEX(是正管理簿!$O$7:$O$106,$K17)="","",INDEX(是正管理簿!$O$7:$O$106,$K17)))</f>
        <v/>
      </c>
      <c r="K17" s="2" t="str">
        <f aca="false">IFERROR(MATCH(9,是正管理簿!$R$7:$R$106,0),"")</f>
        <v/>
      </c>
    </row>
    <row r="18" customFormat="false" ht="15" hidden="false" customHeight="false" outlineLevel="0" collapsed="false">
      <c r="A18" s="45" t="str">
        <f aca="false">IF($K18="","",10)</f>
        <v/>
      </c>
      <c r="B18" s="21" t="str">
        <f aca="false">IF($K18="","",IF(INDEX(是正管理簿!$F$7:$F$106,$K18)="","",INDEX(是正管理簿!$F$7:$F$106,$K18)))</f>
        <v/>
      </c>
      <c r="C18" s="21" t="str">
        <f aca="false">IF($K18="","",IF(INDEX(是正管理簿!$G$7:$G$106,$K18)="","",INDEX(是正管理簿!$G$7:$G$106,$K18)))</f>
        <v/>
      </c>
      <c r="D18" s="21" t="str">
        <f aca="false">IF($K18="","",INDEX(是正管理簿!$H$7:$H$106,$K18)&amp;IF(INDEX(是正管理簿!$M$7:$M$106,$K18)="","",CHAR(10)&amp;"是正："&amp;INDEX(是正管理簿!$M$7:$M$106,$K18)))</f>
        <v/>
      </c>
      <c r="E18" s="21"/>
      <c r="F18" s="23" t="str">
        <f aca="false">IF($K18="","",IF(INDEX(是正管理簿!$I$7:$I$106,$K18)="","",INDEX(是正管理簿!$I$7:$I$106,$K18)))</f>
        <v/>
      </c>
      <c r="G18" s="20" t="str">
        <f aca="false">IF($K18="","",IF(INDEX(是正管理簿!$K$7:$K$106,$K18)="","",INDEX(是正管理簿!$K$7:$K$106,$K18)))</f>
        <v/>
      </c>
      <c r="H18" s="20" t="str">
        <f aca="false">IF($K18="","",IF(INDEX(是正管理簿!$N$7:$N$106,$K18)="","",INDEX(是正管理簿!$N$7:$N$106,$K18)))</f>
        <v/>
      </c>
      <c r="I18" s="46" t="str">
        <f aca="false">IF($K18="","",IF(INDEX(是正管理簿!$O$7:$O$106,$K18)="","",INDEX(是正管理簿!$O$7:$O$106,$K18)))</f>
        <v/>
      </c>
      <c r="K18" s="2" t="str">
        <f aca="false">IFERROR(MATCH(10,是正管理簿!$R$7:$R$106,0),"")</f>
        <v/>
      </c>
    </row>
    <row r="19" customFormat="false" ht="15" hidden="false" customHeight="false" outlineLevel="0" collapsed="false">
      <c r="A19" s="45" t="str">
        <f aca="false">IF($K19="","",11)</f>
        <v/>
      </c>
      <c r="B19" s="21" t="str">
        <f aca="false">IF($K19="","",IF(INDEX(是正管理簿!$F$7:$F$106,$K19)="","",INDEX(是正管理簿!$F$7:$F$106,$K19)))</f>
        <v/>
      </c>
      <c r="C19" s="21" t="str">
        <f aca="false">IF($K19="","",IF(INDEX(是正管理簿!$G$7:$G$106,$K19)="","",INDEX(是正管理簿!$G$7:$G$106,$K19)))</f>
        <v/>
      </c>
      <c r="D19" s="21" t="str">
        <f aca="false">IF($K19="","",INDEX(是正管理簿!$H$7:$H$106,$K19)&amp;IF(INDEX(是正管理簿!$M$7:$M$106,$K19)="","",CHAR(10)&amp;"是正："&amp;INDEX(是正管理簿!$M$7:$M$106,$K19)))</f>
        <v/>
      </c>
      <c r="E19" s="21"/>
      <c r="F19" s="23" t="str">
        <f aca="false">IF($K19="","",IF(INDEX(是正管理簿!$I$7:$I$106,$K19)="","",INDEX(是正管理簿!$I$7:$I$106,$K19)))</f>
        <v/>
      </c>
      <c r="G19" s="20" t="str">
        <f aca="false">IF($K19="","",IF(INDEX(是正管理簿!$K$7:$K$106,$K19)="","",INDEX(是正管理簿!$K$7:$K$106,$K19)))</f>
        <v/>
      </c>
      <c r="H19" s="20" t="str">
        <f aca="false">IF($K19="","",IF(INDEX(是正管理簿!$N$7:$N$106,$K19)="","",INDEX(是正管理簿!$N$7:$N$106,$K19)))</f>
        <v/>
      </c>
      <c r="I19" s="46" t="str">
        <f aca="false">IF($K19="","",IF(INDEX(是正管理簿!$O$7:$O$106,$K19)="","",INDEX(是正管理簿!$O$7:$O$106,$K19)))</f>
        <v/>
      </c>
      <c r="K19" s="2" t="str">
        <f aca="false">IFERROR(MATCH(11,是正管理簿!$R$7:$R$106,0),"")</f>
        <v/>
      </c>
    </row>
    <row r="20" customFormat="false" ht="15" hidden="false" customHeight="false" outlineLevel="0" collapsed="false">
      <c r="A20" s="45" t="str">
        <f aca="false">IF($K20="","",12)</f>
        <v/>
      </c>
      <c r="B20" s="21" t="str">
        <f aca="false">IF($K20="","",IF(INDEX(是正管理簿!$F$7:$F$106,$K20)="","",INDEX(是正管理簿!$F$7:$F$106,$K20)))</f>
        <v/>
      </c>
      <c r="C20" s="21" t="str">
        <f aca="false">IF($K20="","",IF(INDEX(是正管理簿!$G$7:$G$106,$K20)="","",INDEX(是正管理簿!$G$7:$G$106,$K20)))</f>
        <v/>
      </c>
      <c r="D20" s="21" t="str">
        <f aca="false">IF($K20="","",INDEX(是正管理簿!$H$7:$H$106,$K20)&amp;IF(INDEX(是正管理簿!$M$7:$M$106,$K20)="","",CHAR(10)&amp;"是正："&amp;INDEX(是正管理簿!$M$7:$M$106,$K20)))</f>
        <v/>
      </c>
      <c r="E20" s="21"/>
      <c r="F20" s="23" t="str">
        <f aca="false">IF($K20="","",IF(INDEX(是正管理簿!$I$7:$I$106,$K20)="","",INDEX(是正管理簿!$I$7:$I$106,$K20)))</f>
        <v/>
      </c>
      <c r="G20" s="20" t="str">
        <f aca="false">IF($K20="","",IF(INDEX(是正管理簿!$K$7:$K$106,$K20)="","",INDEX(是正管理簿!$K$7:$K$106,$K20)))</f>
        <v/>
      </c>
      <c r="H20" s="20" t="str">
        <f aca="false">IF($K20="","",IF(INDEX(是正管理簿!$N$7:$N$106,$K20)="","",INDEX(是正管理簿!$N$7:$N$106,$K20)))</f>
        <v/>
      </c>
      <c r="I20" s="46" t="str">
        <f aca="false">IF($K20="","",IF(INDEX(是正管理簿!$O$7:$O$106,$K20)="","",INDEX(是正管理簿!$O$7:$O$106,$K20)))</f>
        <v/>
      </c>
      <c r="K20" s="2" t="str">
        <f aca="false">IFERROR(MATCH(12,是正管理簿!$R$7:$R$106,0),"")</f>
        <v/>
      </c>
    </row>
    <row r="21" customFormat="false" ht="15" hidden="false" customHeight="false" outlineLevel="0" collapsed="false">
      <c r="A21" s="45" t="str">
        <f aca="false">IF($K21="","",13)</f>
        <v/>
      </c>
      <c r="B21" s="21" t="str">
        <f aca="false">IF($K21="","",IF(INDEX(是正管理簿!$F$7:$F$106,$K21)="","",INDEX(是正管理簿!$F$7:$F$106,$K21)))</f>
        <v/>
      </c>
      <c r="C21" s="21" t="str">
        <f aca="false">IF($K21="","",IF(INDEX(是正管理簿!$G$7:$G$106,$K21)="","",INDEX(是正管理簿!$G$7:$G$106,$K21)))</f>
        <v/>
      </c>
      <c r="D21" s="21" t="str">
        <f aca="false">IF($K21="","",INDEX(是正管理簿!$H$7:$H$106,$K21)&amp;IF(INDEX(是正管理簿!$M$7:$M$106,$K21)="","",CHAR(10)&amp;"是正："&amp;INDEX(是正管理簿!$M$7:$M$106,$K21)))</f>
        <v/>
      </c>
      <c r="E21" s="21"/>
      <c r="F21" s="23" t="str">
        <f aca="false">IF($K21="","",IF(INDEX(是正管理簿!$I$7:$I$106,$K21)="","",INDEX(是正管理簿!$I$7:$I$106,$K21)))</f>
        <v/>
      </c>
      <c r="G21" s="20" t="str">
        <f aca="false">IF($K21="","",IF(INDEX(是正管理簿!$K$7:$K$106,$K21)="","",INDEX(是正管理簿!$K$7:$K$106,$K21)))</f>
        <v/>
      </c>
      <c r="H21" s="20" t="str">
        <f aca="false">IF($K21="","",IF(INDEX(是正管理簿!$N$7:$N$106,$K21)="","",INDEX(是正管理簿!$N$7:$N$106,$K21)))</f>
        <v/>
      </c>
      <c r="I21" s="46" t="str">
        <f aca="false">IF($K21="","",IF(INDEX(是正管理簿!$O$7:$O$106,$K21)="","",INDEX(是正管理簿!$O$7:$O$106,$K21)))</f>
        <v/>
      </c>
      <c r="K21" s="2" t="str">
        <f aca="false">IFERROR(MATCH(13,是正管理簿!$R$7:$R$106,0),"")</f>
        <v/>
      </c>
    </row>
    <row r="22" customFormat="false" ht="15" hidden="false" customHeight="false" outlineLevel="0" collapsed="false">
      <c r="A22" s="45" t="str">
        <f aca="false">IF($K22="","",14)</f>
        <v/>
      </c>
      <c r="B22" s="21" t="str">
        <f aca="false">IF($K22="","",IF(INDEX(是正管理簿!$F$7:$F$106,$K22)="","",INDEX(是正管理簿!$F$7:$F$106,$K22)))</f>
        <v/>
      </c>
      <c r="C22" s="21" t="str">
        <f aca="false">IF($K22="","",IF(INDEX(是正管理簿!$G$7:$G$106,$K22)="","",INDEX(是正管理簿!$G$7:$G$106,$K22)))</f>
        <v/>
      </c>
      <c r="D22" s="21" t="str">
        <f aca="false">IF($K22="","",INDEX(是正管理簿!$H$7:$H$106,$K22)&amp;IF(INDEX(是正管理簿!$M$7:$M$106,$K22)="","",CHAR(10)&amp;"是正："&amp;INDEX(是正管理簿!$M$7:$M$106,$K22)))</f>
        <v/>
      </c>
      <c r="E22" s="21"/>
      <c r="F22" s="23" t="str">
        <f aca="false">IF($K22="","",IF(INDEX(是正管理簿!$I$7:$I$106,$K22)="","",INDEX(是正管理簿!$I$7:$I$106,$K22)))</f>
        <v/>
      </c>
      <c r="G22" s="20" t="str">
        <f aca="false">IF($K22="","",IF(INDEX(是正管理簿!$K$7:$K$106,$K22)="","",INDEX(是正管理簿!$K$7:$K$106,$K22)))</f>
        <v/>
      </c>
      <c r="H22" s="20" t="str">
        <f aca="false">IF($K22="","",IF(INDEX(是正管理簿!$N$7:$N$106,$K22)="","",INDEX(是正管理簿!$N$7:$N$106,$K22)))</f>
        <v/>
      </c>
      <c r="I22" s="46" t="str">
        <f aca="false">IF($K22="","",IF(INDEX(是正管理簿!$O$7:$O$106,$K22)="","",INDEX(是正管理簿!$O$7:$O$106,$K22)))</f>
        <v/>
      </c>
      <c r="K22" s="2" t="str">
        <f aca="false">IFERROR(MATCH(14,是正管理簿!$R$7:$R$106,0),"")</f>
        <v/>
      </c>
    </row>
    <row r="23" customFormat="false" ht="15" hidden="false" customHeight="false" outlineLevel="0" collapsed="false">
      <c r="A23" s="45" t="str">
        <f aca="false">IF($K23="","",15)</f>
        <v/>
      </c>
      <c r="B23" s="21" t="str">
        <f aca="false">IF($K23="","",IF(INDEX(是正管理簿!$F$7:$F$106,$K23)="","",INDEX(是正管理簿!$F$7:$F$106,$K23)))</f>
        <v/>
      </c>
      <c r="C23" s="21" t="str">
        <f aca="false">IF($K23="","",IF(INDEX(是正管理簿!$G$7:$G$106,$K23)="","",INDEX(是正管理簿!$G$7:$G$106,$K23)))</f>
        <v/>
      </c>
      <c r="D23" s="21" t="str">
        <f aca="false">IF($K23="","",INDEX(是正管理簿!$H$7:$H$106,$K23)&amp;IF(INDEX(是正管理簿!$M$7:$M$106,$K23)="","",CHAR(10)&amp;"是正："&amp;INDEX(是正管理簿!$M$7:$M$106,$K23)))</f>
        <v/>
      </c>
      <c r="E23" s="21"/>
      <c r="F23" s="23" t="str">
        <f aca="false">IF($K23="","",IF(INDEX(是正管理簿!$I$7:$I$106,$K23)="","",INDEX(是正管理簿!$I$7:$I$106,$K23)))</f>
        <v/>
      </c>
      <c r="G23" s="20" t="str">
        <f aca="false">IF($K23="","",IF(INDEX(是正管理簿!$K$7:$K$106,$K23)="","",INDEX(是正管理簿!$K$7:$K$106,$K23)))</f>
        <v/>
      </c>
      <c r="H23" s="20" t="str">
        <f aca="false">IF($K23="","",IF(INDEX(是正管理簿!$N$7:$N$106,$K23)="","",INDEX(是正管理簿!$N$7:$N$106,$K23)))</f>
        <v/>
      </c>
      <c r="I23" s="46" t="str">
        <f aca="false">IF($K23="","",IF(INDEX(是正管理簿!$O$7:$O$106,$K23)="","",INDEX(是正管理簿!$O$7:$O$106,$K23)))</f>
        <v/>
      </c>
      <c r="K23" s="2" t="str">
        <f aca="false">IFERROR(MATCH(15,是正管理簿!$R$7:$R$106,0),"")</f>
        <v/>
      </c>
    </row>
    <row r="24" customFormat="false" ht="15" hidden="false" customHeight="false" outlineLevel="0" collapsed="false">
      <c r="A24" s="45" t="str">
        <f aca="false">IF($K24="","",16)</f>
        <v/>
      </c>
      <c r="B24" s="21" t="str">
        <f aca="false">IF($K24="","",IF(INDEX(是正管理簿!$F$7:$F$106,$K24)="","",INDEX(是正管理簿!$F$7:$F$106,$K24)))</f>
        <v/>
      </c>
      <c r="C24" s="21" t="str">
        <f aca="false">IF($K24="","",IF(INDEX(是正管理簿!$G$7:$G$106,$K24)="","",INDEX(是正管理簿!$G$7:$G$106,$K24)))</f>
        <v/>
      </c>
      <c r="D24" s="21" t="str">
        <f aca="false">IF($K24="","",INDEX(是正管理簿!$H$7:$H$106,$K24)&amp;IF(INDEX(是正管理簿!$M$7:$M$106,$K24)="","",CHAR(10)&amp;"是正："&amp;INDEX(是正管理簿!$M$7:$M$106,$K24)))</f>
        <v/>
      </c>
      <c r="E24" s="21"/>
      <c r="F24" s="23" t="str">
        <f aca="false">IF($K24="","",IF(INDEX(是正管理簿!$I$7:$I$106,$K24)="","",INDEX(是正管理簿!$I$7:$I$106,$K24)))</f>
        <v/>
      </c>
      <c r="G24" s="20" t="str">
        <f aca="false">IF($K24="","",IF(INDEX(是正管理簿!$K$7:$K$106,$K24)="","",INDEX(是正管理簿!$K$7:$K$106,$K24)))</f>
        <v/>
      </c>
      <c r="H24" s="20" t="str">
        <f aca="false">IF($K24="","",IF(INDEX(是正管理簿!$N$7:$N$106,$K24)="","",INDEX(是正管理簿!$N$7:$N$106,$K24)))</f>
        <v/>
      </c>
      <c r="I24" s="46" t="str">
        <f aca="false">IF($K24="","",IF(INDEX(是正管理簿!$O$7:$O$106,$K24)="","",INDEX(是正管理簿!$O$7:$O$106,$K24)))</f>
        <v/>
      </c>
      <c r="K24" s="2" t="str">
        <f aca="false">IFERROR(MATCH(16,是正管理簿!$R$7:$R$106,0),"")</f>
        <v/>
      </c>
    </row>
    <row r="25" customFormat="false" ht="15" hidden="false" customHeight="false" outlineLevel="0" collapsed="false">
      <c r="A25" s="45" t="str">
        <f aca="false">IF($K25="","",17)</f>
        <v/>
      </c>
      <c r="B25" s="21" t="str">
        <f aca="false">IF($K25="","",IF(INDEX(是正管理簿!$F$7:$F$106,$K25)="","",INDEX(是正管理簿!$F$7:$F$106,$K25)))</f>
        <v/>
      </c>
      <c r="C25" s="21" t="str">
        <f aca="false">IF($K25="","",IF(INDEX(是正管理簿!$G$7:$G$106,$K25)="","",INDEX(是正管理簿!$G$7:$G$106,$K25)))</f>
        <v/>
      </c>
      <c r="D25" s="21" t="str">
        <f aca="false">IF($K25="","",INDEX(是正管理簿!$H$7:$H$106,$K25)&amp;IF(INDEX(是正管理簿!$M$7:$M$106,$K25)="","",CHAR(10)&amp;"是正："&amp;INDEX(是正管理簿!$M$7:$M$106,$K25)))</f>
        <v/>
      </c>
      <c r="E25" s="21"/>
      <c r="F25" s="23" t="str">
        <f aca="false">IF($K25="","",IF(INDEX(是正管理簿!$I$7:$I$106,$K25)="","",INDEX(是正管理簿!$I$7:$I$106,$K25)))</f>
        <v/>
      </c>
      <c r="G25" s="20" t="str">
        <f aca="false">IF($K25="","",IF(INDEX(是正管理簿!$K$7:$K$106,$K25)="","",INDEX(是正管理簿!$K$7:$K$106,$K25)))</f>
        <v/>
      </c>
      <c r="H25" s="20" t="str">
        <f aca="false">IF($K25="","",IF(INDEX(是正管理簿!$N$7:$N$106,$K25)="","",INDEX(是正管理簿!$N$7:$N$106,$K25)))</f>
        <v/>
      </c>
      <c r="I25" s="46" t="str">
        <f aca="false">IF($K25="","",IF(INDEX(是正管理簿!$O$7:$O$106,$K25)="","",INDEX(是正管理簿!$O$7:$O$106,$K25)))</f>
        <v/>
      </c>
      <c r="K25" s="2" t="str">
        <f aca="false">IFERROR(MATCH(17,是正管理簿!$R$7:$R$106,0),"")</f>
        <v/>
      </c>
    </row>
    <row r="26" customFormat="false" ht="15" hidden="false" customHeight="false" outlineLevel="0" collapsed="false">
      <c r="A26" s="45" t="str">
        <f aca="false">IF($K26="","",18)</f>
        <v/>
      </c>
      <c r="B26" s="21" t="str">
        <f aca="false">IF($K26="","",IF(INDEX(是正管理簿!$F$7:$F$106,$K26)="","",INDEX(是正管理簿!$F$7:$F$106,$K26)))</f>
        <v/>
      </c>
      <c r="C26" s="21" t="str">
        <f aca="false">IF($K26="","",IF(INDEX(是正管理簿!$G$7:$G$106,$K26)="","",INDEX(是正管理簿!$G$7:$G$106,$K26)))</f>
        <v/>
      </c>
      <c r="D26" s="21" t="str">
        <f aca="false">IF($K26="","",INDEX(是正管理簿!$H$7:$H$106,$K26)&amp;IF(INDEX(是正管理簿!$M$7:$M$106,$K26)="","",CHAR(10)&amp;"是正："&amp;INDEX(是正管理簿!$M$7:$M$106,$K26)))</f>
        <v/>
      </c>
      <c r="E26" s="21"/>
      <c r="F26" s="23" t="str">
        <f aca="false">IF($K26="","",IF(INDEX(是正管理簿!$I$7:$I$106,$K26)="","",INDEX(是正管理簿!$I$7:$I$106,$K26)))</f>
        <v/>
      </c>
      <c r="G26" s="20" t="str">
        <f aca="false">IF($K26="","",IF(INDEX(是正管理簿!$K$7:$K$106,$K26)="","",INDEX(是正管理簿!$K$7:$K$106,$K26)))</f>
        <v/>
      </c>
      <c r="H26" s="20" t="str">
        <f aca="false">IF($K26="","",IF(INDEX(是正管理簿!$N$7:$N$106,$K26)="","",INDEX(是正管理簿!$N$7:$N$106,$K26)))</f>
        <v/>
      </c>
      <c r="I26" s="46" t="str">
        <f aca="false">IF($K26="","",IF(INDEX(是正管理簿!$O$7:$O$106,$K26)="","",INDEX(是正管理簿!$O$7:$O$106,$K26)))</f>
        <v/>
      </c>
      <c r="K26" s="2" t="str">
        <f aca="false">IFERROR(MATCH(18,是正管理簿!$R$7:$R$106,0),"")</f>
        <v/>
      </c>
    </row>
    <row r="27" customFormat="false" ht="15" hidden="false" customHeight="false" outlineLevel="0" collapsed="false">
      <c r="A27" s="45" t="str">
        <f aca="false">IF($K27="","",19)</f>
        <v/>
      </c>
      <c r="B27" s="21" t="str">
        <f aca="false">IF($K27="","",IF(INDEX(是正管理簿!$F$7:$F$106,$K27)="","",INDEX(是正管理簿!$F$7:$F$106,$K27)))</f>
        <v/>
      </c>
      <c r="C27" s="21" t="str">
        <f aca="false">IF($K27="","",IF(INDEX(是正管理簿!$G$7:$G$106,$K27)="","",INDEX(是正管理簿!$G$7:$G$106,$K27)))</f>
        <v/>
      </c>
      <c r="D27" s="21" t="str">
        <f aca="false">IF($K27="","",INDEX(是正管理簿!$H$7:$H$106,$K27)&amp;IF(INDEX(是正管理簿!$M$7:$M$106,$K27)="","",CHAR(10)&amp;"是正："&amp;INDEX(是正管理簿!$M$7:$M$106,$K27)))</f>
        <v/>
      </c>
      <c r="E27" s="21"/>
      <c r="F27" s="23" t="str">
        <f aca="false">IF($K27="","",IF(INDEX(是正管理簿!$I$7:$I$106,$K27)="","",INDEX(是正管理簿!$I$7:$I$106,$K27)))</f>
        <v/>
      </c>
      <c r="G27" s="20" t="str">
        <f aca="false">IF($K27="","",IF(INDEX(是正管理簿!$K$7:$K$106,$K27)="","",INDEX(是正管理簿!$K$7:$K$106,$K27)))</f>
        <v/>
      </c>
      <c r="H27" s="20" t="str">
        <f aca="false">IF($K27="","",IF(INDEX(是正管理簿!$N$7:$N$106,$K27)="","",INDEX(是正管理簿!$N$7:$N$106,$K27)))</f>
        <v/>
      </c>
      <c r="I27" s="46" t="str">
        <f aca="false">IF($K27="","",IF(INDEX(是正管理簿!$O$7:$O$106,$K27)="","",INDEX(是正管理簿!$O$7:$O$106,$K27)))</f>
        <v/>
      </c>
      <c r="K27" s="2" t="str">
        <f aca="false">IFERROR(MATCH(19,是正管理簿!$R$7:$R$106,0),"")</f>
        <v/>
      </c>
    </row>
    <row r="28" customFormat="false" ht="15" hidden="false" customHeight="false" outlineLevel="0" collapsed="false">
      <c r="A28" s="47" t="str">
        <f aca="false">IF($K28="","",20)</f>
        <v/>
      </c>
      <c r="B28" s="29" t="str">
        <f aca="false">IF($K28="","",IF(INDEX(是正管理簿!$F$7:$F$106,$K28)="","",INDEX(是正管理簿!$F$7:$F$106,$K28)))</f>
        <v/>
      </c>
      <c r="C28" s="29" t="str">
        <f aca="false">IF($K28="","",IF(INDEX(是正管理簿!$G$7:$G$106,$K28)="","",INDEX(是正管理簿!$G$7:$G$106,$K28)))</f>
        <v/>
      </c>
      <c r="D28" s="29" t="str">
        <f aca="false">IF($K28="","",INDEX(是正管理簿!$H$7:$H$106,$K28)&amp;IF(INDEX(是正管理簿!$M$7:$M$106,$K28)="","",CHAR(10)&amp;"是正："&amp;INDEX(是正管理簿!$M$7:$M$106,$K28)))</f>
        <v/>
      </c>
      <c r="E28" s="29"/>
      <c r="F28" s="31" t="str">
        <f aca="false">IF($K28="","",IF(INDEX(是正管理簿!$I$7:$I$106,$K28)="","",INDEX(是正管理簿!$I$7:$I$106,$K28)))</f>
        <v/>
      </c>
      <c r="G28" s="28" t="str">
        <f aca="false">IF($K28="","",IF(INDEX(是正管理簿!$K$7:$K$106,$K28)="","",INDEX(是正管理簿!$K$7:$K$106,$K28)))</f>
        <v/>
      </c>
      <c r="H28" s="28" t="str">
        <f aca="false">IF($K28="","",IF(INDEX(是正管理簿!$N$7:$N$106,$K28)="","",INDEX(是正管理簿!$N$7:$N$106,$K28)))</f>
        <v/>
      </c>
      <c r="I28" s="48" t="str">
        <f aca="false">IF($K28="","",IF(INDEX(是正管理簿!$O$7:$O$106,$K28)="","",INDEX(是正管理簿!$O$7:$O$106,$K28)))</f>
        <v/>
      </c>
      <c r="K28" s="2" t="str">
        <f aca="false">IFERROR(MATCH(20,是正管理簿!$R$7:$R$106,0),"")</f>
        <v/>
      </c>
    </row>
    <row r="30" customFormat="false" ht="15" hidden="false" customHeight="false" outlineLevel="0" collapsed="false">
      <c r="A30" s="49" t="s">
        <v>81</v>
      </c>
      <c r="B30" s="49"/>
      <c r="C30" s="49"/>
      <c r="D30" s="49"/>
      <c r="E30" s="49"/>
      <c r="F30" s="49"/>
      <c r="G30" s="49"/>
      <c r="H30" s="49"/>
      <c r="I30" s="49"/>
    </row>
    <row r="31" customFormat="false" ht="51.75" hidden="false" customHeight="true" outlineLevel="0" collapsed="false">
      <c r="A31" s="50"/>
      <c r="B31" s="50"/>
      <c r="C31" s="50"/>
      <c r="D31" s="50"/>
      <c r="E31" s="50"/>
      <c r="F31" s="50"/>
      <c r="G31" s="50"/>
      <c r="H31" s="50"/>
      <c r="I31" s="50"/>
    </row>
    <row r="33" customFormat="false" ht="18" hidden="false" customHeight="true" outlineLevel="0" collapsed="false">
      <c r="A33" s="8" t="s">
        <v>82</v>
      </c>
      <c r="B33" s="8"/>
      <c r="C33" s="8"/>
      <c r="D33" s="10" t="s">
        <v>80</v>
      </c>
      <c r="E33" s="10"/>
      <c r="F33" s="10"/>
      <c r="G33" s="51" t="s">
        <v>83</v>
      </c>
      <c r="H33" s="51"/>
      <c r="I33" s="51"/>
    </row>
    <row r="34" customFormat="false" ht="45.75" hidden="false" customHeight="true" outlineLevel="0" collapsed="false">
      <c r="A34" s="52"/>
      <c r="B34" s="52"/>
      <c r="C34" s="52"/>
      <c r="D34" s="13"/>
      <c r="E34" s="13"/>
      <c r="F34" s="13"/>
      <c r="G34" s="15"/>
      <c r="H34" s="15"/>
      <c r="I34" s="15"/>
    </row>
  </sheetData>
  <mergeCells count="41">
    <mergeCell ref="A1:I1"/>
    <mergeCell ref="A3:B3"/>
    <mergeCell ref="F3:G3"/>
    <mergeCell ref="H3:I3"/>
    <mergeCell ref="A4:B4"/>
    <mergeCell ref="C4:I4"/>
    <mergeCell ref="A5:B5"/>
    <mergeCell ref="C5:D5"/>
    <mergeCell ref="F5:I5"/>
    <mergeCell ref="A6:B6"/>
    <mergeCell ref="E6:G6"/>
    <mergeCell ref="A7:I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A30:I30"/>
    <mergeCell ref="A31:I31"/>
    <mergeCell ref="A33:C33"/>
    <mergeCell ref="D33:F33"/>
    <mergeCell ref="G33:I33"/>
    <mergeCell ref="A34:C34"/>
    <mergeCell ref="D34:F34"/>
    <mergeCell ref="G34:I34"/>
  </mergeCells>
  <conditionalFormatting sqref="A9:I28">
    <cfRule type="expression" priority="2" aboveAverage="0" equalAverage="0" bottom="0" percent="0" rank="0" text="" dxfId="5">
      <formula>AND($A9&lt;&gt;"",$I9&lt;&gt;"")</formula>
    </cfRule>
    <cfRule type="expression" priority="3" aboveAverage="0" equalAverage="0" bottom="0" percent="0" rank="0" text="" dxfId="6">
      <formula>AND($A9&lt;&gt;"",$I9="",$H9="",$G9&lt;&gt;"",TODAY()&gt;$G9)</formula>
    </cfRule>
  </conditionalFormatting>
  <conditionalFormatting sqref="F9:F28">
    <cfRule type="expression" priority="4" aboveAverage="0" equalAverage="0" bottom="0" percent="0" rank="0" text="" dxfId="8">
      <formula>$F9="A"</formula>
    </cfRule>
  </conditionalFormatting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2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8"/>
    <col collapsed="false" customWidth="true" hidden="false" outlineLevel="0" max="6" min="2" style="0" width="11"/>
  </cols>
  <sheetData>
    <row r="1" customFormat="false" ht="25.5" hidden="false" customHeight="true" outlineLevel="0" collapsed="false">
      <c r="A1" s="7" t="s">
        <v>84</v>
      </c>
      <c r="B1" s="7"/>
      <c r="C1" s="7"/>
      <c r="D1" s="7"/>
      <c r="E1" s="7"/>
      <c r="F1" s="7"/>
    </row>
    <row r="2" customFormat="false" ht="15" hidden="false" customHeight="false" outlineLevel="0" collapsed="false">
      <c r="A2" s="2" t="s">
        <v>85</v>
      </c>
    </row>
    <row r="3" customFormat="false" ht="15" hidden="false" customHeight="false" outlineLevel="0" collapsed="false">
      <c r="A3" s="8" t="s">
        <v>86</v>
      </c>
      <c r="B3" s="51" t="s">
        <v>87</v>
      </c>
    </row>
    <row r="4" customFormat="false" ht="18.75" hidden="false" customHeight="true" outlineLevel="0" collapsed="false">
      <c r="A4" s="53" t="s">
        <v>76</v>
      </c>
      <c r="B4" s="54" t="n">
        <f aca="false">COUNTA(是正管理簿!$H$7:$H$106)</f>
        <v>0</v>
      </c>
    </row>
    <row r="5" customFormat="false" ht="18.75" hidden="false" customHeight="true" outlineLevel="0" collapsed="false">
      <c r="A5" s="53" t="s">
        <v>88</v>
      </c>
      <c r="B5" s="54" t="n">
        <f aca="false">COUNTIFS(是正管理簿!$I$7:$I$106,"A")</f>
        <v>0</v>
      </c>
    </row>
    <row r="6" customFormat="false" ht="18.75" hidden="false" customHeight="true" outlineLevel="0" collapsed="false">
      <c r="A6" s="53" t="s">
        <v>89</v>
      </c>
      <c r="B6" s="54" t="n">
        <f aca="false">COUNTIFS(是正管理簿!$H$7:$H$106,"&lt;&gt;",是正管理簿!$N$7:$N$106,"&lt;&gt;")</f>
        <v>0</v>
      </c>
    </row>
    <row r="7" customFormat="false" ht="18.75" hidden="false" customHeight="true" outlineLevel="0" collapsed="false">
      <c r="A7" s="53" t="s">
        <v>90</v>
      </c>
      <c r="B7" s="54" t="n">
        <f aca="false">COUNTIFS(是正管理簿!$H$7:$H$106,"&lt;&gt;",是正管理簿!$O$7:$O$106,"&lt;&gt;")</f>
        <v>0</v>
      </c>
    </row>
    <row r="8" customFormat="false" ht="18.75" hidden="false" customHeight="true" outlineLevel="0" collapsed="false">
      <c r="A8" s="53" t="s">
        <v>91</v>
      </c>
      <c r="B8" s="54" t="n">
        <f aca="false">$B$4-$B$6</f>
        <v>0</v>
      </c>
    </row>
    <row r="9" customFormat="false" ht="18.75" hidden="false" customHeight="true" outlineLevel="0" collapsed="false">
      <c r="A9" s="53" t="s">
        <v>92</v>
      </c>
      <c r="B9" s="54" t="n">
        <f aca="true">SUMPRODUCT((是正管理簿!$H$7:$H$106&lt;&gt;"")*(是正管理簿!$O$7:$O$106="")*(是正管理簿!$N$7:$N$106="")*(是正管理簿!$K$7:$K$106&lt;&gt;"")*(是正管理簿!$K$7:$K$106&lt;TODAY()))</f>
        <v>0</v>
      </c>
    </row>
    <row r="10" customFormat="false" ht="18.75" hidden="false" customHeight="true" outlineLevel="0" collapsed="false">
      <c r="A10" s="55" t="s">
        <v>93</v>
      </c>
      <c r="B10" s="56" t="str">
        <f aca="false">IF($B$4=0,"",$B$7/$B$4)</f>
        <v/>
      </c>
    </row>
    <row r="13" customFormat="false" ht="15" hidden="false" customHeight="false" outlineLevel="0" collapsed="false">
      <c r="A13" s="8" t="s">
        <v>94</v>
      </c>
      <c r="B13" s="57" t="s">
        <v>87</v>
      </c>
      <c r="C13" s="57" t="s">
        <v>95</v>
      </c>
      <c r="D13" s="57" t="s">
        <v>96</v>
      </c>
      <c r="E13" s="57" t="s">
        <v>97</v>
      </c>
      <c r="F13" s="58" t="s">
        <v>98</v>
      </c>
    </row>
    <row r="14" customFormat="false" ht="18" hidden="false" customHeight="true" outlineLevel="0" collapsed="false">
      <c r="A14" s="59" t="str">
        <f aca="false">マスタ!$C$4</f>
        <v>墜落・転落</v>
      </c>
      <c r="B14" s="60" t="n">
        <f aca="false">COUNTIFS(是正管理簿!$F$7:$F$106,$A14)</f>
        <v>0</v>
      </c>
      <c r="C14" s="60" t="n">
        <f aca="false">COUNTIFS(是正管理簿!$F$7:$F$106,$A14,是正管理簿!$I$7:$I$106,"A")</f>
        <v>0</v>
      </c>
      <c r="D14" s="60" t="n">
        <f aca="false">COUNTIFS(是正管理簿!$F$7:$F$106,$A14,是正管理簿!$O$7:$O$106,"&lt;&gt;")</f>
        <v>0</v>
      </c>
      <c r="E14" s="60" t="n">
        <f aca="true">SUMPRODUCT((是正管理簿!$F$7:$F$106=$A14)*(是正管理簿!$O$7:$O$106="")*(是正管理簿!$N$7:$N$106="")*(是正管理簿!$K$7:$K$106&lt;&gt;"")*(是正管理簿!$K$7:$K$106&lt;TODAY()))</f>
        <v>0</v>
      </c>
      <c r="F14" s="61" t="str">
        <f aca="false">IF($B14=0,"",$D14/$B14)</f>
        <v/>
      </c>
    </row>
    <row r="15" customFormat="false" ht="18" hidden="false" customHeight="true" outlineLevel="0" collapsed="false">
      <c r="A15" s="59" t="str">
        <f aca="false">マスタ!$C$5</f>
        <v>開口部・手すり</v>
      </c>
      <c r="B15" s="60" t="n">
        <f aca="false">COUNTIFS(是正管理簿!$F$7:$F$106,$A15)</f>
        <v>0</v>
      </c>
      <c r="C15" s="60" t="n">
        <f aca="false">COUNTIFS(是正管理簿!$F$7:$F$106,$A15,是正管理簿!$I$7:$I$106,"A")</f>
        <v>0</v>
      </c>
      <c r="D15" s="60" t="n">
        <f aca="false">COUNTIFS(是正管理簿!$F$7:$F$106,$A15,是正管理簿!$O$7:$O$106,"&lt;&gt;")</f>
        <v>0</v>
      </c>
      <c r="E15" s="60" t="n">
        <f aca="true">SUMPRODUCT((是正管理簿!$F$7:$F$106=$A15)*(是正管理簿!$O$7:$O$106="")*(是正管理簿!$N$7:$N$106="")*(是正管理簿!$K$7:$K$106&lt;&gt;"")*(是正管理簿!$K$7:$K$106&lt;TODAY()))</f>
        <v>0</v>
      </c>
      <c r="F15" s="61" t="str">
        <f aca="false">IF($B15=0,"",$D15/$B15)</f>
        <v/>
      </c>
    </row>
    <row r="16" customFormat="false" ht="18" hidden="false" customHeight="true" outlineLevel="0" collapsed="false">
      <c r="A16" s="59" t="str">
        <f aca="false">マスタ!$C$6</f>
        <v>感電・電気</v>
      </c>
      <c r="B16" s="60" t="n">
        <f aca="false">COUNTIFS(是正管理簿!$F$7:$F$106,$A16)</f>
        <v>0</v>
      </c>
      <c r="C16" s="60" t="n">
        <f aca="false">COUNTIFS(是正管理簿!$F$7:$F$106,$A16,是正管理簿!$I$7:$I$106,"A")</f>
        <v>0</v>
      </c>
      <c r="D16" s="60" t="n">
        <f aca="false">COUNTIFS(是正管理簿!$F$7:$F$106,$A16,是正管理簿!$O$7:$O$106,"&lt;&gt;")</f>
        <v>0</v>
      </c>
      <c r="E16" s="60" t="n">
        <f aca="true">SUMPRODUCT((是正管理簿!$F$7:$F$106=$A16)*(是正管理簿!$O$7:$O$106="")*(是正管理簿!$N$7:$N$106="")*(是正管理簿!$K$7:$K$106&lt;&gt;"")*(是正管理簿!$K$7:$K$106&lt;TODAY()))</f>
        <v>0</v>
      </c>
      <c r="F16" s="61" t="str">
        <f aca="false">IF($B16=0,"",$D16/$B16)</f>
        <v/>
      </c>
    </row>
    <row r="17" customFormat="false" ht="18" hidden="false" customHeight="true" outlineLevel="0" collapsed="false">
      <c r="A17" s="59" t="str">
        <f aca="false">マスタ!$C$7</f>
        <v>飛来・落下</v>
      </c>
      <c r="B17" s="60" t="n">
        <f aca="false">COUNTIFS(是正管理簿!$F$7:$F$106,$A17)</f>
        <v>0</v>
      </c>
      <c r="C17" s="60" t="n">
        <f aca="false">COUNTIFS(是正管理簿!$F$7:$F$106,$A17,是正管理簿!$I$7:$I$106,"A")</f>
        <v>0</v>
      </c>
      <c r="D17" s="60" t="n">
        <f aca="false">COUNTIFS(是正管理簿!$F$7:$F$106,$A17,是正管理簿!$O$7:$O$106,"&lt;&gt;")</f>
        <v>0</v>
      </c>
      <c r="E17" s="60" t="n">
        <f aca="true">SUMPRODUCT((是正管理簿!$F$7:$F$106=$A17)*(是正管理簿!$O$7:$O$106="")*(是正管理簿!$N$7:$N$106="")*(是正管理簿!$K$7:$K$106&lt;&gt;"")*(是正管理簿!$K$7:$K$106&lt;TODAY()))</f>
        <v>0</v>
      </c>
      <c r="F17" s="61" t="str">
        <f aca="false">IF($B17=0,"",$D17/$B17)</f>
        <v/>
      </c>
    </row>
    <row r="18" customFormat="false" ht="18" hidden="false" customHeight="true" outlineLevel="0" collapsed="false">
      <c r="A18" s="59" t="str">
        <f aca="false">マスタ!$C$8</f>
        <v>重機・車両</v>
      </c>
      <c r="B18" s="60" t="n">
        <f aca="false">COUNTIFS(是正管理簿!$F$7:$F$106,$A18)</f>
        <v>0</v>
      </c>
      <c r="C18" s="60" t="n">
        <f aca="false">COUNTIFS(是正管理簿!$F$7:$F$106,$A18,是正管理簿!$I$7:$I$106,"A")</f>
        <v>0</v>
      </c>
      <c r="D18" s="60" t="n">
        <f aca="false">COUNTIFS(是正管理簿!$F$7:$F$106,$A18,是正管理簿!$O$7:$O$106,"&lt;&gt;")</f>
        <v>0</v>
      </c>
      <c r="E18" s="60" t="n">
        <f aca="true">SUMPRODUCT((是正管理簿!$F$7:$F$106=$A18)*(是正管理簿!$O$7:$O$106="")*(是正管理簿!$N$7:$N$106="")*(是正管理簿!$K$7:$K$106&lt;&gt;"")*(是正管理簿!$K$7:$K$106&lt;TODAY()))</f>
        <v>0</v>
      </c>
      <c r="F18" s="61" t="str">
        <f aca="false">IF($B18=0,"",$D18/$B18)</f>
        <v/>
      </c>
    </row>
    <row r="19" customFormat="false" ht="18" hidden="false" customHeight="true" outlineLevel="0" collapsed="false">
      <c r="A19" s="59" t="str">
        <f aca="false">マスタ!$C$9</f>
        <v>整理整頓・通路</v>
      </c>
      <c r="B19" s="60" t="n">
        <f aca="false">COUNTIFS(是正管理簿!$F$7:$F$106,$A19)</f>
        <v>0</v>
      </c>
      <c r="C19" s="60" t="n">
        <f aca="false">COUNTIFS(是正管理簿!$F$7:$F$106,$A19,是正管理簿!$I$7:$I$106,"A")</f>
        <v>0</v>
      </c>
      <c r="D19" s="60" t="n">
        <f aca="false">COUNTIFS(是正管理簿!$F$7:$F$106,$A19,是正管理簿!$O$7:$O$106,"&lt;&gt;")</f>
        <v>0</v>
      </c>
      <c r="E19" s="60" t="n">
        <f aca="true">SUMPRODUCT((是正管理簿!$F$7:$F$106=$A19)*(是正管理簿!$O$7:$O$106="")*(是正管理簿!$N$7:$N$106="")*(是正管理簿!$K$7:$K$106&lt;&gt;"")*(是正管理簿!$K$7:$K$106&lt;TODAY()))</f>
        <v>0</v>
      </c>
      <c r="F19" s="61" t="str">
        <f aca="false">IF($B19=0,"",$D19/$B19)</f>
        <v/>
      </c>
    </row>
    <row r="20" customFormat="false" ht="18" hidden="false" customHeight="true" outlineLevel="0" collapsed="false">
      <c r="A20" s="59" t="str">
        <f aca="false">マスタ!$C$10</f>
        <v>工具・機械</v>
      </c>
      <c r="B20" s="60" t="n">
        <f aca="false">COUNTIFS(是正管理簿!$F$7:$F$106,$A20)</f>
        <v>0</v>
      </c>
      <c r="C20" s="60" t="n">
        <f aca="false">COUNTIFS(是正管理簿!$F$7:$F$106,$A20,是正管理簿!$I$7:$I$106,"A")</f>
        <v>0</v>
      </c>
      <c r="D20" s="60" t="n">
        <f aca="false">COUNTIFS(是正管理簿!$F$7:$F$106,$A20,是正管理簿!$O$7:$O$106,"&lt;&gt;")</f>
        <v>0</v>
      </c>
      <c r="E20" s="60" t="n">
        <f aca="true">SUMPRODUCT((是正管理簿!$F$7:$F$106=$A20)*(是正管理簿!$O$7:$O$106="")*(是正管理簿!$N$7:$N$106="")*(是正管理簿!$K$7:$K$106&lt;&gt;"")*(是正管理簿!$K$7:$K$106&lt;TODAY()))</f>
        <v>0</v>
      </c>
      <c r="F20" s="61" t="str">
        <f aca="false">IF($B20=0,"",$D20/$B20)</f>
        <v/>
      </c>
    </row>
    <row r="21" customFormat="false" ht="18" hidden="false" customHeight="true" outlineLevel="0" collapsed="false">
      <c r="A21" s="59" t="str">
        <f aca="false">マスタ!$C$11</f>
        <v>保護具・服装</v>
      </c>
      <c r="B21" s="60" t="n">
        <f aca="false">COUNTIFS(是正管理簿!$F$7:$F$106,$A21)</f>
        <v>0</v>
      </c>
      <c r="C21" s="60" t="n">
        <f aca="false">COUNTIFS(是正管理簿!$F$7:$F$106,$A21,是正管理簿!$I$7:$I$106,"A")</f>
        <v>0</v>
      </c>
      <c r="D21" s="60" t="n">
        <f aca="false">COUNTIFS(是正管理簿!$F$7:$F$106,$A21,是正管理簿!$O$7:$O$106,"&lt;&gt;")</f>
        <v>0</v>
      </c>
      <c r="E21" s="60" t="n">
        <f aca="true">SUMPRODUCT((是正管理簿!$F$7:$F$106=$A21)*(是正管理簿!$O$7:$O$106="")*(是正管理簿!$N$7:$N$106="")*(是正管理簿!$K$7:$K$106&lt;&gt;"")*(是正管理簿!$K$7:$K$106&lt;TODAY()))</f>
        <v>0</v>
      </c>
      <c r="F21" s="61" t="str">
        <f aca="false">IF($B21=0,"",$D21/$B21)</f>
        <v/>
      </c>
    </row>
    <row r="22" customFormat="false" ht="18" hidden="false" customHeight="true" outlineLevel="0" collapsed="false">
      <c r="A22" s="59" t="str">
        <f aca="false">マスタ!$C$12</f>
        <v>表示・掲示</v>
      </c>
      <c r="B22" s="60" t="n">
        <f aca="false">COUNTIFS(是正管理簿!$F$7:$F$106,$A22)</f>
        <v>0</v>
      </c>
      <c r="C22" s="60" t="n">
        <f aca="false">COUNTIFS(是正管理簿!$F$7:$F$106,$A22,是正管理簿!$I$7:$I$106,"A")</f>
        <v>0</v>
      </c>
      <c r="D22" s="60" t="n">
        <f aca="false">COUNTIFS(是正管理簿!$F$7:$F$106,$A22,是正管理簿!$O$7:$O$106,"&lt;&gt;")</f>
        <v>0</v>
      </c>
      <c r="E22" s="60" t="n">
        <f aca="true">SUMPRODUCT((是正管理簿!$F$7:$F$106=$A22)*(是正管理簿!$O$7:$O$106="")*(是正管理簿!$N$7:$N$106="")*(是正管理簿!$K$7:$K$106&lt;&gt;"")*(是正管理簿!$K$7:$K$106&lt;TODAY()))</f>
        <v>0</v>
      </c>
      <c r="F22" s="61" t="str">
        <f aca="false">IF($B22=0,"",$D22/$B22)</f>
        <v/>
      </c>
    </row>
    <row r="23" customFormat="false" ht="18" hidden="false" customHeight="true" outlineLevel="0" collapsed="false">
      <c r="A23" s="59" t="str">
        <f aca="false">マスタ!$C$13</f>
        <v>火気・危険物</v>
      </c>
      <c r="B23" s="60" t="n">
        <f aca="false">COUNTIFS(是正管理簿!$F$7:$F$106,$A23)</f>
        <v>0</v>
      </c>
      <c r="C23" s="60" t="n">
        <f aca="false">COUNTIFS(是正管理簿!$F$7:$F$106,$A23,是正管理簿!$I$7:$I$106,"A")</f>
        <v>0</v>
      </c>
      <c r="D23" s="60" t="n">
        <f aca="false">COUNTIFS(是正管理簿!$F$7:$F$106,$A23,是正管理簿!$O$7:$O$106,"&lt;&gt;")</f>
        <v>0</v>
      </c>
      <c r="E23" s="60" t="n">
        <f aca="true">SUMPRODUCT((是正管理簿!$F$7:$F$106=$A23)*(是正管理簿!$O$7:$O$106="")*(是正管理簿!$N$7:$N$106="")*(是正管理簿!$K$7:$K$106&lt;&gt;"")*(是正管理簿!$K$7:$K$106&lt;TODAY()))</f>
        <v>0</v>
      </c>
      <c r="F23" s="61" t="str">
        <f aca="false">IF($B23=0,"",$D23/$B23)</f>
        <v/>
      </c>
    </row>
    <row r="24" customFormat="false" ht="18" hidden="false" customHeight="true" outlineLevel="0" collapsed="false">
      <c r="A24" s="59" t="str">
        <f aca="false">マスタ!$C$14</f>
        <v>健康・熱中症</v>
      </c>
      <c r="B24" s="60" t="n">
        <f aca="false">COUNTIFS(是正管理簿!$F$7:$F$106,$A24)</f>
        <v>0</v>
      </c>
      <c r="C24" s="60" t="n">
        <f aca="false">COUNTIFS(是正管理簿!$F$7:$F$106,$A24,是正管理簿!$I$7:$I$106,"A")</f>
        <v>0</v>
      </c>
      <c r="D24" s="60" t="n">
        <f aca="false">COUNTIFS(是正管理簿!$F$7:$F$106,$A24,是正管理簿!$O$7:$O$106,"&lt;&gt;")</f>
        <v>0</v>
      </c>
      <c r="E24" s="60" t="n">
        <f aca="true">SUMPRODUCT((是正管理簿!$F$7:$F$106=$A24)*(是正管理簿!$O$7:$O$106="")*(是正管理簿!$N$7:$N$106="")*(是正管理簿!$K$7:$K$106&lt;&gt;"")*(是正管理簿!$K$7:$K$106&lt;TODAY()))</f>
        <v>0</v>
      </c>
      <c r="F24" s="61" t="str">
        <f aca="false">IF($B24=0,"",$D24/$B24)</f>
        <v/>
      </c>
    </row>
    <row r="25" customFormat="false" ht="18" hidden="false" customHeight="true" outlineLevel="0" collapsed="false">
      <c r="A25" s="59" t="str">
        <f aca="false">マスタ!$C$15</f>
        <v>その他</v>
      </c>
      <c r="B25" s="60" t="n">
        <f aca="false">COUNTIFS(是正管理簿!$F$7:$F$106,$A25)</f>
        <v>0</v>
      </c>
      <c r="C25" s="60" t="n">
        <f aca="false">COUNTIFS(是正管理簿!$F$7:$F$106,$A25,是正管理簿!$I$7:$I$106,"A")</f>
        <v>0</v>
      </c>
      <c r="D25" s="60" t="n">
        <f aca="false">COUNTIFS(是正管理簿!$F$7:$F$106,$A25,是正管理簿!$O$7:$O$106,"&lt;&gt;")</f>
        <v>0</v>
      </c>
      <c r="E25" s="60" t="n">
        <f aca="true">SUMPRODUCT((是正管理簿!$F$7:$F$106=$A25)*(是正管理簿!$O$7:$O$106="")*(是正管理簿!$N$7:$N$106="")*(是正管理簿!$K$7:$K$106&lt;&gt;"")*(是正管理簿!$K$7:$K$106&lt;TODAY()))</f>
        <v>0</v>
      </c>
      <c r="F25" s="61" t="str">
        <f aca="false">IF($B25=0,"",$D25/$B25)</f>
        <v/>
      </c>
    </row>
    <row r="26" customFormat="false" ht="15" hidden="false" customHeight="false" outlineLevel="0" collapsed="false">
      <c r="A26" s="62" t="s">
        <v>99</v>
      </c>
      <c r="B26" s="63" t="n">
        <f aca="false">SUM(B14:B25)</f>
        <v>0</v>
      </c>
      <c r="C26" s="63" t="n">
        <f aca="false">SUM(C14:C25)</f>
        <v>0</v>
      </c>
      <c r="D26" s="63" t="n">
        <f aca="false">SUM(D14:D25)</f>
        <v>0</v>
      </c>
      <c r="E26" s="63" t="n">
        <f aca="false">SUM(E14:E25)</f>
        <v>0</v>
      </c>
      <c r="F26" s="64" t="str">
        <f aca="false">IF($B$26=0,"",$D$26/$B$26)</f>
        <v/>
      </c>
    </row>
    <row r="28" customFormat="false" ht="15" hidden="false" customHeight="true" outlineLevel="0" collapsed="false">
      <c r="A28" s="65" t="s">
        <v>100</v>
      </c>
      <c r="B28" s="65"/>
      <c r="C28" s="65"/>
      <c r="D28" s="65"/>
      <c r="E28" s="65"/>
      <c r="F28" s="65"/>
    </row>
    <row r="29" customFormat="false" ht="15" hidden="false" customHeight="false" outlineLevel="0" collapsed="false">
      <c r="A29" s="65"/>
      <c r="B29" s="65"/>
      <c r="C29" s="65"/>
      <c r="D29" s="65"/>
      <c r="E29" s="65"/>
      <c r="F29" s="65"/>
    </row>
  </sheetData>
  <mergeCells count="2">
    <mergeCell ref="A1:F1"/>
    <mergeCell ref="A28:F29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Q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11"/>
    <col collapsed="false" customWidth="true" hidden="false" outlineLevel="0" max="3" min="3" style="0" width="24"/>
    <col collapsed="false" customWidth="true" hidden="false" outlineLevel="0" max="4" min="4" style="0" width="17"/>
    <col collapsed="false" customWidth="true" hidden="false" outlineLevel="0" max="5" min="5" style="0" width="12"/>
    <col collapsed="false" customWidth="true" hidden="false" outlineLevel="0" max="6" min="6" style="0" width="15"/>
    <col collapsed="false" customWidth="true" hidden="false" outlineLevel="0" max="7" min="7" style="0" width="16"/>
    <col collapsed="false" customWidth="true" hidden="false" outlineLevel="0" max="8" min="8" style="0" width="38"/>
    <col collapsed="false" customWidth="true" hidden="false" outlineLevel="0" max="9" min="9" style="0" width="7"/>
    <col collapsed="false" customWidth="true" hidden="false" outlineLevel="0" max="11" min="10" style="0" width="11"/>
    <col collapsed="false" customWidth="true" hidden="false" outlineLevel="0" max="12" min="12" style="0" width="16"/>
    <col collapsed="false" customWidth="true" hidden="false" outlineLevel="0" max="13" min="13" style="0" width="30"/>
    <col collapsed="false" customWidth="true" hidden="false" outlineLevel="0" max="15" min="14" style="0" width="11"/>
    <col collapsed="false" customWidth="true" hidden="false" outlineLevel="0" max="16" min="16" style="0" width="19"/>
    <col collapsed="false" customWidth="true" hidden="false" outlineLevel="0" max="17" min="17" style="0" width="8"/>
  </cols>
  <sheetData>
    <row r="1" customFormat="false" ht="17.15" hidden="false" customHeight="false" outlineLevel="0" collapsed="false">
      <c r="A1" s="66" t="s">
        <v>101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3" customFormat="false" ht="30" hidden="false" customHeight="true" outlineLevel="0" collapsed="false">
      <c r="A3" s="16" t="s">
        <v>18</v>
      </c>
      <c r="B3" s="17" t="s">
        <v>57</v>
      </c>
      <c r="C3" s="17" t="s">
        <v>58</v>
      </c>
      <c r="D3" s="17" t="s">
        <v>59</v>
      </c>
      <c r="E3" s="17" t="s">
        <v>60</v>
      </c>
      <c r="F3" s="17" t="s">
        <v>61</v>
      </c>
      <c r="G3" s="17" t="s">
        <v>62</v>
      </c>
      <c r="H3" s="17" t="s">
        <v>63</v>
      </c>
      <c r="I3" s="17" t="s">
        <v>64</v>
      </c>
      <c r="J3" s="17" t="s">
        <v>65</v>
      </c>
      <c r="K3" s="17" t="s">
        <v>20</v>
      </c>
      <c r="L3" s="17" t="s">
        <v>66</v>
      </c>
      <c r="M3" s="17" t="s">
        <v>67</v>
      </c>
      <c r="N3" s="17" t="s">
        <v>68</v>
      </c>
      <c r="O3" s="17" t="s">
        <v>69</v>
      </c>
      <c r="P3" s="17" t="s">
        <v>22</v>
      </c>
      <c r="Q3" s="18" t="s">
        <v>24</v>
      </c>
    </row>
    <row r="4" customFormat="false" ht="29.85" hidden="false" customHeight="false" outlineLevel="0" collapsed="false">
      <c r="A4" s="45" t="n">
        <v>1</v>
      </c>
      <c r="B4" s="20" t="n">
        <v>46206</v>
      </c>
      <c r="C4" s="67" t="s">
        <v>102</v>
      </c>
      <c r="D4" s="68" t="s">
        <v>103</v>
      </c>
      <c r="E4" s="68" t="s">
        <v>104</v>
      </c>
      <c r="F4" s="68" t="s">
        <v>105</v>
      </c>
      <c r="G4" s="21" t="s">
        <v>106</v>
      </c>
      <c r="H4" s="21" t="s">
        <v>107</v>
      </c>
      <c r="I4" s="23" t="s">
        <v>27</v>
      </c>
      <c r="J4" s="20"/>
      <c r="K4" s="20" t="n">
        <v>46207</v>
      </c>
      <c r="L4" s="67" t="s">
        <v>108</v>
      </c>
      <c r="M4" s="67" t="s">
        <v>109</v>
      </c>
      <c r="N4" s="20" t="n">
        <v>46206</v>
      </c>
      <c r="O4" s="20" t="n">
        <v>46207</v>
      </c>
      <c r="P4" s="67" t="s">
        <v>90</v>
      </c>
      <c r="Q4" s="69"/>
    </row>
    <row r="5" customFormat="false" ht="29.85" hidden="false" customHeight="false" outlineLevel="0" collapsed="false">
      <c r="A5" s="45" t="n">
        <v>2</v>
      </c>
      <c r="B5" s="20" t="n">
        <v>46206</v>
      </c>
      <c r="C5" s="67" t="s">
        <v>102</v>
      </c>
      <c r="D5" s="68" t="s">
        <v>103</v>
      </c>
      <c r="E5" s="68" t="s">
        <v>104</v>
      </c>
      <c r="F5" s="68" t="s">
        <v>110</v>
      </c>
      <c r="G5" s="21" t="s">
        <v>111</v>
      </c>
      <c r="H5" s="67" t="s">
        <v>112</v>
      </c>
      <c r="I5" s="23" t="s">
        <v>29</v>
      </c>
      <c r="J5" s="20"/>
      <c r="K5" s="20" t="n">
        <v>46213</v>
      </c>
      <c r="L5" s="67" t="s">
        <v>108</v>
      </c>
      <c r="M5" s="67" t="s">
        <v>113</v>
      </c>
      <c r="N5" s="20" t="n">
        <v>46209</v>
      </c>
      <c r="O5" s="20"/>
      <c r="P5" s="67" t="s">
        <v>114</v>
      </c>
      <c r="Q5" s="69"/>
    </row>
    <row r="6" customFormat="false" ht="29.85" hidden="false" customHeight="false" outlineLevel="0" collapsed="false">
      <c r="A6" s="47" t="n">
        <v>3</v>
      </c>
      <c r="B6" s="28" t="n">
        <v>46228</v>
      </c>
      <c r="C6" s="70" t="s">
        <v>115</v>
      </c>
      <c r="D6" s="71" t="s">
        <v>116</v>
      </c>
      <c r="E6" s="71" t="s">
        <v>117</v>
      </c>
      <c r="F6" s="71" t="s">
        <v>118</v>
      </c>
      <c r="G6" s="29" t="s">
        <v>119</v>
      </c>
      <c r="H6" s="70" t="s">
        <v>120</v>
      </c>
      <c r="I6" s="31" t="s">
        <v>27</v>
      </c>
      <c r="J6" s="28"/>
      <c r="K6" s="28" t="n">
        <v>46229</v>
      </c>
      <c r="L6" s="70" t="s">
        <v>108</v>
      </c>
      <c r="M6" s="70" t="s">
        <v>121</v>
      </c>
      <c r="N6" s="28"/>
      <c r="O6" s="28"/>
      <c r="P6" s="70" t="s">
        <v>122</v>
      </c>
      <c r="Q6" s="72"/>
    </row>
    <row r="8" customFormat="false" ht="15" hidden="false" customHeight="false" outlineLevel="0" collapsed="false">
      <c r="A8" s="2" t="s">
        <v>123</v>
      </c>
    </row>
  </sheetData>
  <mergeCells count="1">
    <mergeCell ref="A1:Q1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1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3"/>
    <col collapsed="false" customWidth="true" hidden="false" outlineLevel="0" max="3" min="3" style="0" width="24"/>
    <col collapsed="false" customWidth="true" hidden="false" outlineLevel="0" max="4" min="4" style="0" width="3"/>
    <col collapsed="false" customWidth="true" hidden="false" outlineLevel="0" max="5" min="5" style="0" width="11"/>
    <col collapsed="false" customWidth="true" hidden="false" outlineLevel="0" max="6" min="6" style="0" width="16"/>
    <col collapsed="false" customWidth="true" hidden="false" outlineLevel="0" max="7" min="7" style="0" width="28"/>
  </cols>
  <sheetData>
    <row r="1" customFormat="false" ht="15" hidden="false" customHeight="false" outlineLevel="0" collapsed="false">
      <c r="A1" s="73" t="s">
        <v>124</v>
      </c>
    </row>
    <row r="3" customFormat="false" ht="15" hidden="false" customHeight="false" outlineLevel="0" collapsed="false">
      <c r="A3" s="74" t="s">
        <v>59</v>
      </c>
      <c r="C3" s="74" t="s">
        <v>61</v>
      </c>
      <c r="E3" s="75" t="s">
        <v>64</v>
      </c>
      <c r="F3" s="57" t="s">
        <v>125</v>
      </c>
      <c r="G3" s="58" t="s">
        <v>126</v>
      </c>
    </row>
    <row r="4" customFormat="false" ht="15" hidden="false" customHeight="false" outlineLevel="0" collapsed="false">
      <c r="A4" s="76" t="s">
        <v>103</v>
      </c>
      <c r="C4" s="76" t="s">
        <v>127</v>
      </c>
      <c r="E4" s="77" t="s">
        <v>27</v>
      </c>
      <c r="F4" s="60" t="n">
        <v>1</v>
      </c>
      <c r="G4" s="78" t="s">
        <v>128</v>
      </c>
    </row>
    <row r="5" customFormat="false" ht="15" hidden="false" customHeight="false" outlineLevel="0" collapsed="false">
      <c r="A5" s="76" t="s">
        <v>116</v>
      </c>
      <c r="C5" s="76" t="s">
        <v>105</v>
      </c>
      <c r="E5" s="77" t="s">
        <v>29</v>
      </c>
      <c r="F5" s="60" t="n">
        <v>7</v>
      </c>
      <c r="G5" s="78" t="s">
        <v>129</v>
      </c>
    </row>
    <row r="6" customFormat="false" ht="15" hidden="false" customHeight="false" outlineLevel="0" collapsed="false">
      <c r="A6" s="76" t="s">
        <v>130</v>
      </c>
      <c r="C6" s="76" t="s">
        <v>118</v>
      </c>
      <c r="E6" s="79" t="s">
        <v>31</v>
      </c>
      <c r="F6" s="80" t="n">
        <v>30</v>
      </c>
      <c r="G6" s="81" t="s">
        <v>131</v>
      </c>
    </row>
    <row r="7" customFormat="false" ht="15" hidden="false" customHeight="false" outlineLevel="0" collapsed="false">
      <c r="A7" s="76" t="s">
        <v>132</v>
      </c>
      <c r="C7" s="76" t="s">
        <v>133</v>
      </c>
    </row>
    <row r="8" customFormat="false" ht="15" hidden="false" customHeight="false" outlineLevel="0" collapsed="false">
      <c r="A8" s="76" t="s">
        <v>134</v>
      </c>
      <c r="C8" s="76" t="s">
        <v>135</v>
      </c>
    </row>
    <row r="9" customFormat="false" ht="15" hidden="false" customHeight="false" outlineLevel="0" collapsed="false">
      <c r="A9" s="76" t="s">
        <v>136</v>
      </c>
      <c r="C9" s="76" t="s">
        <v>110</v>
      </c>
    </row>
    <row r="10" customFormat="false" ht="15" hidden="false" customHeight="false" outlineLevel="0" collapsed="false">
      <c r="A10" s="82"/>
      <c r="C10" s="76" t="s">
        <v>137</v>
      </c>
    </row>
    <row r="11" customFormat="false" ht="15" hidden="false" customHeight="false" outlineLevel="0" collapsed="false">
      <c r="A11" s="82"/>
      <c r="C11" s="76" t="s">
        <v>138</v>
      </c>
    </row>
    <row r="12" customFormat="false" ht="15" hidden="false" customHeight="false" outlineLevel="0" collapsed="false">
      <c r="A12" s="82"/>
      <c r="C12" s="76" t="s">
        <v>139</v>
      </c>
    </row>
    <row r="13" customFormat="false" ht="15" hidden="false" customHeight="false" outlineLevel="0" collapsed="false">
      <c r="A13" s="82"/>
      <c r="C13" s="76" t="s">
        <v>140</v>
      </c>
    </row>
    <row r="14" customFormat="false" ht="15" hidden="false" customHeight="false" outlineLevel="0" collapsed="false">
      <c r="A14" s="82"/>
      <c r="C14" s="76" t="s">
        <v>141</v>
      </c>
    </row>
    <row r="15" customFormat="false" ht="15" hidden="false" customHeight="false" outlineLevel="0" collapsed="false">
      <c r="A15" s="83"/>
      <c r="C15" s="84" t="s">
        <v>136</v>
      </c>
    </row>
    <row r="18" customFormat="false" ht="15" hidden="false" customHeight="false" outlineLevel="0" collapsed="false">
      <c r="A18" s="2" t="s">
        <v>142</v>
      </c>
    </row>
    <row r="19" customFormat="false" ht="15" hidden="false" customHeight="false" outlineLevel="0" collapsed="false">
      <c r="A19" s="2" t="s">
        <v>143</v>
      </c>
    </row>
  </sheetData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2026-09-02T00:23:26Z</dcterms:created>
  <dc:creator>openpyxl</dc:creator>
  <dc:description/>
  <dc:language>en-US</dc:language>
  <cp:lastModifiedBy/>
  <dcterms:modified xsi:type="dcterms:W3CDTF">2026-09-02T00:23:27Z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